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555" yWindow="225" windowWidth="19320" windowHeight="8235" tabRatio="875" activeTab="1"/>
  </bookViews>
  <sheets>
    <sheet name="HV" sheetId="1" r:id="rId1"/>
    <sheet name="SDI" sheetId="2" r:id="rId2"/>
    <sheet name="VI" sheetId="3" r:id="rId3"/>
  </sheets>
  <definedNames>
    <definedName name="solver_adj" localSheetId="0" hidden="1">'HV'!#REF!</definedName>
    <definedName name="solver_adj" localSheetId="1" hidden="1">'SDI'!#REF!</definedName>
    <definedName name="solver_cvg" localSheetId="0" hidden="1">0.0001</definedName>
    <definedName name="solver_cvg" localSheetId="1" hidden="1">0.00001</definedName>
    <definedName name="solver_drv" localSheetId="0" hidden="1">2</definedName>
    <definedName name="solver_drv" localSheetId="1" hidden="1">2</definedName>
    <definedName name="solver_est" localSheetId="0" hidden="1">2</definedName>
    <definedName name="solver_est" localSheetId="1" hidden="1">2</definedName>
    <definedName name="solver_itr" localSheetId="0" hidden="1">400</definedName>
    <definedName name="solver_itr" localSheetId="1" hidden="1">400</definedName>
    <definedName name="solver_lhs1" localSheetId="0" hidden="1">'HV'!#REF!</definedName>
    <definedName name="solver_lhs1" localSheetId="1" hidden="1">'SDI'!#REF!</definedName>
    <definedName name="solver_lhs2" localSheetId="0" hidden="1">'HV'!#REF!</definedName>
    <definedName name="solver_lhs2" localSheetId="1" hidden="1">'SDI'!#REF!</definedName>
    <definedName name="solver_lhs3" localSheetId="0" hidden="1">'HV'!#REF!</definedName>
    <definedName name="solver_lhs3" localSheetId="1" hidden="1">'SDI'!#REF!</definedName>
    <definedName name="solver_lhs4" localSheetId="0" hidden="1">'HV'!#REF!</definedName>
    <definedName name="solver_lhs4" localSheetId="1" hidden="1">'SDI'!#REF!</definedName>
    <definedName name="solver_lin" localSheetId="0" hidden="1">2</definedName>
    <definedName name="solver_lin" localSheetId="1" hidden="1">2</definedName>
    <definedName name="solver_neg" localSheetId="0" hidden="1">1</definedName>
    <definedName name="solver_neg" localSheetId="1" hidden="1">1</definedName>
    <definedName name="solver_num" localSheetId="0" hidden="1">1</definedName>
    <definedName name="solver_num" localSheetId="1" hidden="1">1</definedName>
    <definedName name="solver_nwt" localSheetId="0" hidden="1">2</definedName>
    <definedName name="solver_nwt" localSheetId="1" hidden="1">2</definedName>
    <definedName name="solver_opt" localSheetId="0" hidden="1">'HV'!#REF!</definedName>
    <definedName name="solver_opt" localSheetId="1" hidden="1">'SDI'!#REF!</definedName>
    <definedName name="solver_pre" localSheetId="0" hidden="1">0.00000001</definedName>
    <definedName name="solver_pre" localSheetId="1" hidden="1">0.0000001</definedName>
    <definedName name="solver_rel1" localSheetId="0" hidden="1">2</definedName>
    <definedName name="solver_rel1" localSheetId="1" hidden="1">2</definedName>
    <definedName name="solver_rel2" localSheetId="0" hidden="1">2</definedName>
    <definedName name="solver_rel2" localSheetId="1" hidden="1">3</definedName>
    <definedName name="solver_rel3" localSheetId="0" hidden="1">3</definedName>
    <definedName name="solver_rel3" localSheetId="1" hidden="1">3</definedName>
    <definedName name="solver_rel4" localSheetId="0" hidden="1">2</definedName>
    <definedName name="solver_rel4" localSheetId="1" hidden="1">3</definedName>
    <definedName name="solver_rhs1" localSheetId="0" hidden="1">0</definedName>
    <definedName name="solver_rhs1" localSheetId="1" hidden="1">0.8</definedName>
    <definedName name="solver_rhs2" localSheetId="0" hidden="1">419</definedName>
    <definedName name="solver_rhs2" localSheetId="1" hidden="1">5</definedName>
    <definedName name="solver_rhs3" localSheetId="0" hidden="1">0</definedName>
    <definedName name="solver_rhs3" localSheetId="1" hidden="1">1</definedName>
    <definedName name="solver_rhs4" localSheetId="0" hidden="1">419</definedName>
    <definedName name="solver_rhs4" localSheetId="1" hidden="1">0</definedName>
    <definedName name="solver_scl" localSheetId="0" hidden="1">1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0.01</definedName>
    <definedName name="solver_tol" localSheetId="1" hidden="1">0.001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<sst xmlns="http://schemas.openxmlformats.org/spreadsheetml/2006/main" count="827" uniqueCount="352">
  <si>
    <t>pvm klo</t>
  </si>
  <si>
    <t>ka</t>
  </si>
  <si>
    <t>std</t>
  </si>
  <si>
    <t>Ac</t>
  </si>
  <si>
    <t>For</t>
  </si>
  <si>
    <t>MSA</t>
  </si>
  <si>
    <t>Pyr</t>
  </si>
  <si>
    <t>Cl</t>
  </si>
  <si>
    <t>Br</t>
  </si>
  <si>
    <t>NO3</t>
  </si>
  <si>
    <t>Glu</t>
  </si>
  <si>
    <t>Suc</t>
  </si>
  <si>
    <t>Mal</t>
  </si>
  <si>
    <t>SO4</t>
  </si>
  <si>
    <t>Ox</t>
  </si>
  <si>
    <t>Na</t>
  </si>
  <si>
    <t>dNa</t>
  </si>
  <si>
    <t>NH4</t>
  </si>
  <si>
    <t>dNH4</t>
  </si>
  <si>
    <t>K</t>
  </si>
  <si>
    <t>dK</t>
  </si>
  <si>
    <t>Mg</t>
  </si>
  <si>
    <t>dMg</t>
  </si>
  <si>
    <t>Ca</t>
  </si>
  <si>
    <t>dCa</t>
  </si>
  <si>
    <t>F</t>
  </si>
  <si>
    <t>C</t>
  </si>
  <si>
    <t>F+C</t>
  </si>
  <si>
    <t>Näyte</t>
  </si>
  <si>
    <t>Na-F</t>
  </si>
  <si>
    <t>Na-C</t>
  </si>
  <si>
    <t>Na-F+C</t>
  </si>
  <si>
    <t>NH4-F</t>
  </si>
  <si>
    <t>NH4-C</t>
  </si>
  <si>
    <t>NH4-F+C</t>
  </si>
  <si>
    <t>K-F</t>
  </si>
  <si>
    <t>K-C</t>
  </si>
  <si>
    <t>K-F+C</t>
  </si>
  <si>
    <t>Mg-F</t>
  </si>
  <si>
    <t>Mg-C</t>
  </si>
  <si>
    <t>Mg-F+C</t>
  </si>
  <si>
    <t>Ca-F</t>
  </si>
  <si>
    <t>Ca-C</t>
  </si>
  <si>
    <t>Ca-F+C</t>
  </si>
  <si>
    <t>FINE</t>
  </si>
  <si>
    <t>COARSE</t>
  </si>
  <si>
    <t>SUM</t>
  </si>
  <si>
    <t>F+FN</t>
  </si>
  <si>
    <t>F+FN+C</t>
  </si>
  <si>
    <t>FN</t>
  </si>
  <si>
    <t>alkupiste</t>
  </si>
  <si>
    <t>loppupiste</t>
  </si>
  <si>
    <t>keskiarvokoordinaatit</t>
  </si>
  <si>
    <t>Lat(Dt)</t>
  </si>
  <si>
    <t>Lon(Dt)</t>
  </si>
  <si>
    <r>
      <t>V (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cm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0"/>
      </rPr>
      <t>)</t>
    </r>
  </si>
  <si>
    <t>V(hyvät)</t>
  </si>
  <si>
    <t>BC, kaikki (TR-orig) (µg/m3)</t>
  </si>
  <si>
    <t>BC, hyvät (TR-orig) (µg/m3)</t>
  </si>
  <si>
    <t>Act_conc_uBq/m3</t>
  </si>
  <si>
    <t>VI:n keräysajat</t>
  </si>
  <si>
    <t>alku</t>
  </si>
  <si>
    <t>loppu</t>
  </si>
  <si>
    <t>BC (ng m3)</t>
  </si>
  <si>
    <t>std(BC (ng m3))</t>
  </si>
  <si>
    <t>OC (ng m3)</t>
  </si>
  <si>
    <t>BC ng/m3, suodatinkeräyksen ajoille laskettu keskiarvo</t>
  </si>
  <si>
    <t>stdBC</t>
  </si>
  <si>
    <t>minBC</t>
  </si>
  <si>
    <t>maxBC</t>
  </si>
  <si>
    <t>Etalometrin antama musta hiili</t>
  </si>
  <si>
    <t>BC</t>
  </si>
  <si>
    <t>Elem.</t>
  </si>
  <si>
    <t>X/Na</t>
  </si>
  <si>
    <t>Riley &amp; Chester (1971) p. 64</t>
  </si>
  <si>
    <t>Ocean water</t>
  </si>
  <si>
    <t>nssSO4</t>
  </si>
  <si>
    <t>Sea-salt</t>
  </si>
  <si>
    <t>Org.Acids</t>
  </si>
  <si>
    <t>suurtehokeräimestä</t>
  </si>
  <si>
    <t>DMPS MEASUREMENTS</t>
  </si>
  <si>
    <t>1) Aerosol volume concentration</t>
  </si>
  <si>
    <t>2) Aerosol mass concentration, assuming density 1.76</t>
  </si>
  <si>
    <t>ng/m3</t>
  </si>
  <si>
    <t>nssK</t>
  </si>
  <si>
    <t>ml. OC</t>
  </si>
  <si>
    <t>ei OC</t>
  </si>
  <si>
    <r>
      <t>µg m</t>
    </r>
    <r>
      <rPr>
        <b/>
        <vertAlign val="superscript"/>
        <sz val="10"/>
        <rFont val="Arial"/>
        <family val="2"/>
      </rPr>
      <t>-3</t>
    </r>
  </si>
  <si>
    <t>tiheys,</t>
  </si>
  <si>
    <t>ei. OC</t>
  </si>
  <si>
    <t>non-MSA-Org.Acids</t>
  </si>
  <si>
    <t>summa</t>
  </si>
  <si>
    <t>OC</t>
  </si>
  <si>
    <t>Sea salt</t>
  </si>
  <si>
    <t>min</t>
  </si>
  <si>
    <t>max</t>
  </si>
  <si>
    <t>Anthropogenic</t>
  </si>
  <si>
    <t>Natural</t>
  </si>
  <si>
    <t>sum</t>
  </si>
  <si>
    <t>sea salt</t>
  </si>
  <si>
    <t>SDI:n keskiarvokoordinaatit</t>
  </si>
  <si>
    <t>EC (ng m3)</t>
  </si>
  <si>
    <t>OC2-4</t>
  </si>
  <si>
    <t>dOC2-4</t>
  </si>
  <si>
    <t>TC2-4</t>
  </si>
  <si>
    <t>dTC2-4</t>
  </si>
  <si>
    <t>EC+OC(2-4)</t>
  </si>
  <si>
    <t>Non-SS-ions</t>
  </si>
  <si>
    <t>OC = 1.7 * OC2-4</t>
  </si>
  <si>
    <t>Pitoisuudet ng/m3, asteiden massoista vähennetty keskimääräinen blankki</t>
  </si>
  <si>
    <t>OC2-4 (ng m3)</t>
  </si>
  <si>
    <t>OC1-4</t>
  </si>
  <si>
    <t>OC2-4(ng m3)</t>
  </si>
  <si>
    <t>nss-K-F</t>
  </si>
  <si>
    <t>nss-K-C</t>
  </si>
  <si>
    <t>nss-K-f</t>
  </si>
  <si>
    <t>nss-K-c</t>
  </si>
  <si>
    <t>suodatinkeräyksen ajoille laskettu keskiarvo</t>
  </si>
  <si>
    <t>K/Ca, crust =</t>
  </si>
  <si>
    <t>nssCa</t>
  </si>
  <si>
    <t>excK=nssK-(K/Ca,crust)*nssCa</t>
  </si>
  <si>
    <t>VI-O-1</t>
  </si>
  <si>
    <t>VI-O-2</t>
  </si>
  <si>
    <t>VI-O-3</t>
  </si>
  <si>
    <t>VI-O-4</t>
  </si>
  <si>
    <t>VI-O-5</t>
  </si>
  <si>
    <t>VI-O-6</t>
  </si>
  <si>
    <t>VI-O-7</t>
  </si>
  <si>
    <t>VI-O-8</t>
  </si>
  <si>
    <t>VI-O-9</t>
  </si>
  <si>
    <t>VI-O-10</t>
  </si>
  <si>
    <t>VI-O-11</t>
  </si>
  <si>
    <t>VI-O-12</t>
  </si>
  <si>
    <t>VI-O-13</t>
  </si>
  <si>
    <t>VI-O-14</t>
  </si>
  <si>
    <t>VI-O-15</t>
  </si>
  <si>
    <t>VI-O-16</t>
  </si>
  <si>
    <t>VI-O-17</t>
  </si>
  <si>
    <t>VI-O-18</t>
  </si>
  <si>
    <t>VI-O-19</t>
  </si>
  <si>
    <t>VI-O-20</t>
  </si>
  <si>
    <t>VI-O-21</t>
  </si>
  <si>
    <t>VI-O-22</t>
  </si>
  <si>
    <t>SDI-O-1</t>
  </si>
  <si>
    <t>SDI-O-2</t>
  </si>
  <si>
    <t>SDI-O-3</t>
  </si>
  <si>
    <t>SDI-O-4</t>
  </si>
  <si>
    <t>SDI-O-5</t>
  </si>
  <si>
    <t>SDI-O-6</t>
  </si>
  <si>
    <t>SDI-O-7</t>
  </si>
  <si>
    <t>SDI-O-8</t>
  </si>
  <si>
    <t>SDI-O-9</t>
  </si>
  <si>
    <t>SDI-O-10</t>
  </si>
  <si>
    <t>SDI-O-11</t>
  </si>
  <si>
    <t>SDI-O-12</t>
  </si>
  <si>
    <t>SDI-O-13</t>
  </si>
  <si>
    <t>SDI-O-14</t>
  </si>
  <si>
    <t>SDI-O-15</t>
  </si>
  <si>
    <t>SDI-O-16</t>
  </si>
  <si>
    <t>HV-O-1</t>
  </si>
  <si>
    <t>HV-O-2</t>
  </si>
  <si>
    <t>HV-O-3</t>
  </si>
  <si>
    <t>HV-O-4</t>
  </si>
  <si>
    <t>HV-O-5</t>
  </si>
  <si>
    <t>HV-O-6</t>
  </si>
  <si>
    <t>HV-O-7</t>
  </si>
  <si>
    <t>HV-O-8</t>
  </si>
  <si>
    <t>HV-O-9</t>
  </si>
  <si>
    <t>HV-O-10</t>
  </si>
  <si>
    <t>HV-O-11</t>
  </si>
  <si>
    <t>HV-O-12</t>
  </si>
  <si>
    <t>HV-O-13</t>
  </si>
  <si>
    <t>HV-O-14</t>
  </si>
  <si>
    <t>HV-O-15</t>
  </si>
  <si>
    <t>HV-O-16</t>
  </si>
  <si>
    <t>HV-O-17</t>
  </si>
  <si>
    <t>HV-O-18</t>
  </si>
  <si>
    <t>HV-O-19</t>
  </si>
  <si>
    <t>HV-O-20</t>
  </si>
  <si>
    <t>HV-O-21</t>
  </si>
  <si>
    <t>HV-O-22</t>
  </si>
  <si>
    <t>HV-O-23</t>
  </si>
  <si>
    <t>nss-SO4</t>
  </si>
  <si>
    <t>nss-K-sum</t>
  </si>
  <si>
    <t>nss-Ca, sum</t>
  </si>
  <si>
    <t>nss-Mg, sum</t>
  </si>
  <si>
    <t>Mg/Na</t>
  </si>
  <si>
    <t>K/Na</t>
  </si>
  <si>
    <t>Ca/Na</t>
  </si>
  <si>
    <t>nss-Mg, f</t>
  </si>
  <si>
    <t>nss-Mg, c</t>
  </si>
  <si>
    <t>nss-Ca, f</t>
  </si>
  <si>
    <t>nss-Ca, C</t>
  </si>
  <si>
    <t>nss-K</t>
  </si>
  <si>
    <t>nss-Mg</t>
  </si>
  <si>
    <t>SO4 /Na</t>
  </si>
  <si>
    <t>nss-SO4,f</t>
  </si>
  <si>
    <t>nss-SO4, c</t>
  </si>
  <si>
    <t>nss-SO4, sum</t>
  </si>
  <si>
    <t>nss-Mg-f</t>
  </si>
  <si>
    <t>nss-Ca, c</t>
  </si>
  <si>
    <t>nss-K, sum</t>
  </si>
  <si>
    <t>OC1 (ng m3)</t>
  </si>
  <si>
    <t>std(OC1 (ng m3))</t>
  </si>
  <si>
    <t>OC2</t>
  </si>
  <si>
    <t>dOC2</t>
  </si>
  <si>
    <t>OC3</t>
  </si>
  <si>
    <t>dOC3</t>
  </si>
  <si>
    <t>OC4</t>
  </si>
  <si>
    <t>dOC4</t>
  </si>
  <si>
    <t>Ei SDI</t>
  </si>
  <si>
    <t>Sea Salt</t>
  </si>
  <si>
    <t>Sea salt, f</t>
  </si>
  <si>
    <t>Sea salt, c</t>
  </si>
  <si>
    <t>Sea salt, sum</t>
  </si>
  <si>
    <t>ave</t>
  </si>
  <si>
    <t>HV-1</t>
  </si>
  <si>
    <t>HV-2</t>
  </si>
  <si>
    <t>HV-3</t>
  </si>
  <si>
    <t>HV-4</t>
  </si>
  <si>
    <t>HV-5</t>
  </si>
  <si>
    <t>HV-6</t>
  </si>
  <si>
    <t>HV-7</t>
  </si>
  <si>
    <t>HV-8</t>
  </si>
  <si>
    <t>HV-9</t>
  </si>
  <si>
    <t>HV-10</t>
  </si>
  <si>
    <t>HV-11</t>
  </si>
  <si>
    <t>HV-12</t>
  </si>
  <si>
    <t>HV-13</t>
  </si>
  <si>
    <t>HV-14</t>
  </si>
  <si>
    <t>HV-15</t>
  </si>
  <si>
    <t>HV-16</t>
  </si>
  <si>
    <t>HV-17</t>
  </si>
  <si>
    <t>HV-18</t>
  </si>
  <si>
    <t>HV-19</t>
  </si>
  <si>
    <t>HV-20</t>
  </si>
  <si>
    <t>SUMMAT, Dp&lt;1µm</t>
  </si>
  <si>
    <t>org ions</t>
  </si>
  <si>
    <t>io ions, nonSS</t>
  </si>
  <si>
    <t>ions, all</t>
  </si>
  <si>
    <t>ions+EC+OC2-4</t>
  </si>
  <si>
    <t>SS</t>
  </si>
  <si>
    <t>ions+EC</t>
  </si>
  <si>
    <r>
      <t>ng m</t>
    </r>
    <r>
      <rPr>
        <b/>
        <vertAlign val="superscript"/>
        <sz val="10"/>
        <rFont val="Arial"/>
        <family val="2"/>
      </rPr>
      <t>-3</t>
    </r>
  </si>
  <si>
    <t>Crust</t>
  </si>
  <si>
    <t>X/Ca</t>
  </si>
  <si>
    <t>excK</t>
  </si>
  <si>
    <t>Crustal</t>
  </si>
  <si>
    <t>crustal</t>
  </si>
  <si>
    <t>EC/nssSO4</t>
  </si>
  <si>
    <t>NH4/nssSO4</t>
  </si>
  <si>
    <t>MSA/nssSO4</t>
  </si>
  <si>
    <t>nssSO4/MSA</t>
  </si>
  <si>
    <r>
      <t>S</t>
    </r>
    <r>
      <rPr>
        <b/>
        <vertAlign val="subscript"/>
        <sz val="12"/>
        <rFont val="Arial"/>
        <family val="2"/>
      </rPr>
      <t>A,F</t>
    </r>
  </si>
  <si>
    <r>
      <t>S</t>
    </r>
    <r>
      <rPr>
        <b/>
        <vertAlign val="subscript"/>
        <sz val="12"/>
        <rFont val="Arial"/>
        <family val="2"/>
      </rPr>
      <t>A,C</t>
    </r>
  </si>
  <si>
    <r>
      <t>S</t>
    </r>
    <r>
      <rPr>
        <b/>
        <vertAlign val="subscript"/>
        <sz val="12"/>
        <rFont val="Arial"/>
        <family val="2"/>
      </rPr>
      <t>K,F</t>
    </r>
  </si>
  <si>
    <r>
      <t>S</t>
    </r>
    <r>
      <rPr>
        <b/>
        <vertAlign val="subscript"/>
        <sz val="12"/>
        <rFont val="Arial"/>
        <family val="2"/>
      </rPr>
      <t>K,C</t>
    </r>
  </si>
  <si>
    <r>
      <t>R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= pos/neg</t>
    </r>
  </si>
  <si>
    <r>
      <t>R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= pos/neg</t>
    </r>
  </si>
  <si>
    <r>
      <t>NH4/nssSO4</t>
    </r>
    <r>
      <rPr>
        <b/>
        <vertAlign val="subscript"/>
        <sz val="12"/>
        <rFont val="Arial"/>
        <family val="2"/>
      </rPr>
      <t>F</t>
    </r>
  </si>
  <si>
    <r>
      <t>NH4/nssSO4</t>
    </r>
    <r>
      <rPr>
        <b/>
        <vertAlign val="subscript"/>
        <sz val="12"/>
        <rFont val="Arial"/>
        <family val="2"/>
      </rPr>
      <t>C</t>
    </r>
  </si>
  <si>
    <t>Ef (Cl)</t>
  </si>
  <si>
    <t>Ef (Mg)</t>
  </si>
  <si>
    <t>SE</t>
  </si>
  <si>
    <t>ln(Na,f)</t>
  </si>
  <si>
    <t>ln(Na,c)</t>
  </si>
  <si>
    <t>kaikki</t>
  </si>
  <si>
    <t>ei lumisadedata</t>
  </si>
  <si>
    <t xml:space="preserve">                   </t>
  </si>
  <si>
    <r>
      <t>MSA/nssSO4</t>
    </r>
    <r>
      <rPr>
        <b/>
        <vertAlign val="subscript"/>
        <sz val="12"/>
        <rFont val="Arial"/>
        <family val="2"/>
      </rPr>
      <t>F</t>
    </r>
  </si>
  <si>
    <t>Sea Salt, SDI</t>
  </si>
  <si>
    <t>START</t>
  </si>
  <si>
    <t>END</t>
  </si>
  <si>
    <t>BC/nssSO4</t>
  </si>
  <si>
    <t>Cl depletion</t>
  </si>
  <si>
    <t>Cl-dep, f</t>
  </si>
  <si>
    <t>Cl-dep, c</t>
  </si>
  <si>
    <t>NO3/Na</t>
  </si>
  <si>
    <t>Cl/Na</t>
  </si>
  <si>
    <t>Cl/Na, f</t>
  </si>
  <si>
    <t>Cl/Na, c</t>
  </si>
  <si>
    <t>NO3/Pb210</t>
  </si>
  <si>
    <t>Coarse - 0.1*Fine</t>
  </si>
  <si>
    <t>Siivottu data</t>
  </si>
  <si>
    <t>F+C, vähennetty 10%F</t>
  </si>
  <si>
    <t>NO3/Pb</t>
  </si>
  <si>
    <t>NO3/NA-F</t>
  </si>
  <si>
    <t>NO3/NA-C</t>
  </si>
  <si>
    <t>NO3/NA, f+c</t>
  </si>
  <si>
    <t>nss-Mg/nss-Ca</t>
  </si>
  <si>
    <t>nss-Ca/Na</t>
  </si>
  <si>
    <t>Suurtehokeräin + EC/OC-analyysi, 1.4*OC</t>
  </si>
  <si>
    <t>excK/EC</t>
  </si>
  <si>
    <t>Br- loss (%)</t>
  </si>
  <si>
    <t>Teor Br</t>
  </si>
  <si>
    <t>Br-loss</t>
  </si>
  <si>
    <t>Uudet laskut tiedostossa 'SDI-FINNARP 1999, 02-05-2005</t>
  </si>
  <si>
    <t>m oikea, D&lt;1µm, ng/m3</t>
  </si>
  <si>
    <t>m oikea, D&lt;1µm, µg/m3</t>
  </si>
  <si>
    <t>m(ions) + OC2-4 + EC</t>
  </si>
  <si>
    <t>nss K / EC</t>
  </si>
  <si>
    <t>nssK/Ox</t>
  </si>
  <si>
    <t>R * NO3</t>
  </si>
  <si>
    <t>Dp &gt; 1 µm</t>
  </si>
  <si>
    <t>OA, not MSA</t>
  </si>
  <si>
    <t>&lt;3 µm</t>
  </si>
  <si>
    <t>nss-SO4, D&lt;3µm</t>
  </si>
  <si>
    <t>nss-Ca</t>
  </si>
  <si>
    <t>&lt; 4 µm</t>
  </si>
  <si>
    <t>nss-SO4, D&lt;4µm</t>
  </si>
  <si>
    <t>DMPS</t>
  </si>
  <si>
    <t>k1</t>
  </si>
  <si>
    <t>k2</t>
  </si>
  <si>
    <t>C(x)</t>
  </si>
  <si>
    <t>SSE</t>
  </si>
  <si>
    <t>Cbg</t>
  </si>
  <si>
    <t>Chigh</t>
  </si>
  <si>
    <t>Distance from coast</t>
  </si>
  <si>
    <t>Sample</t>
  </si>
  <si>
    <t>region</t>
  </si>
  <si>
    <t>BC, ALL (TR-orig) (µg/m3)</t>
  </si>
  <si>
    <t>BC, FILT (TR-orig) (µg/m3)</t>
  </si>
  <si>
    <t>ANIONS</t>
  </si>
  <si>
    <t>Fractions of mass, excluding OC</t>
  </si>
  <si>
    <t>Anions</t>
  </si>
  <si>
    <t>Cations</t>
  </si>
  <si>
    <t>Fractions of mass, includingf OC</t>
  </si>
  <si>
    <t>mass</t>
  </si>
  <si>
    <t>incl. OC</t>
  </si>
  <si>
    <t>excl. OC</t>
  </si>
  <si>
    <t>From HV sampler</t>
  </si>
  <si>
    <t>SDI sampling times</t>
  </si>
  <si>
    <t>Dist from coast</t>
  </si>
  <si>
    <t>sample</t>
  </si>
  <si>
    <t>VI sampling times</t>
  </si>
  <si>
    <r>
      <t>ng 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, käytetty virtauksesta laskettua tilavuutta</t>
    </r>
  </si>
  <si>
    <r>
      <t>Ion equivalent sums (neq m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2"/>
      </rPr>
      <t>)</t>
    </r>
  </si>
  <si>
    <r>
      <t>V (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), kaikki</t>
    </r>
  </si>
  <si>
    <r>
      <t>V (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), hyvät</t>
    </r>
  </si>
  <si>
    <r>
      <t>SUM(Fine, AN+CAT, µg cm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</si>
  <si>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V (µm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cm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2"/>
      </rPr>
      <t>)</t>
    </r>
  </si>
  <si>
    <r>
      <t>mass (µg m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2"/>
      </rPr>
      <t>)</t>
    </r>
  </si>
  <si>
    <t>Theor sea salt</t>
  </si>
  <si>
    <t>INCL OC</t>
  </si>
  <si>
    <t>Fractions excl OC</t>
  </si>
  <si>
    <t>Fractions incl OC</t>
  </si>
  <si>
    <t>Concentrations ng m-3</t>
  </si>
  <si>
    <t>HV sample air volume</t>
  </si>
  <si>
    <t>High Vol samples</t>
  </si>
  <si>
    <r>
      <t>V</t>
    </r>
    <r>
      <rPr>
        <b/>
        <sz val="10"/>
        <rFont val="Arial"/>
        <family val="2"/>
      </rP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</si>
  <si>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SDI sample air volume</t>
  </si>
  <si>
    <t>VI sample air volume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</si>
</sst>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.mm\.yyyy\ hh:mm"/>
    <numFmt numFmtId="165" formatCode="0.0"/>
    <numFmt numFmtId="166" formatCode="0.0000"/>
    <numFmt numFmtId="167" formatCode="0.000"/>
    <numFmt numFmtId="168" formatCode="\±\ 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10"/>
      <color indexed="17"/>
      <name val="Arial"/>
      <family val="2"/>
    </font>
    <font>
      <b/>
      <vertAlign val="subscript"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4" fontId="0" fillId="33" borderId="10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34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" fontId="8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164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left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Fill="1" applyBorder="1" applyAlignment="1">
      <alignment/>
    </xf>
    <xf numFmtId="1" fontId="10" fillId="0" borderId="0" xfId="0" applyNumberFormat="1" applyFont="1" applyFill="1" applyBorder="1" applyAlignment="1">
      <alignment horizontal="right"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166" fontId="0" fillId="0" borderId="0" xfId="0" applyNumberFormat="1" applyAlignment="1">
      <alignment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right"/>
    </xf>
    <xf numFmtId="167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/>
    </xf>
    <xf numFmtId="1" fontId="3" fillId="0" borderId="11" xfId="0" applyNumberFormat="1" applyFont="1" applyBorder="1" applyAlignment="1">
      <alignment horizontal="right"/>
    </xf>
    <xf numFmtId="168" fontId="0" fillId="0" borderId="11" xfId="0" applyNumberFormat="1" applyBorder="1" applyAlignment="1">
      <alignment horizontal="right"/>
    </xf>
    <xf numFmtId="1" fontId="3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2" fontId="2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35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2" fontId="0" fillId="35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34" borderId="0" xfId="0" applyFont="1" applyFill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" fontId="0" fillId="37" borderId="12" xfId="0" applyNumberFormat="1" applyFill="1" applyBorder="1" applyAlignment="1">
      <alignment horizontal="center"/>
    </xf>
    <xf numFmtId="1" fontId="0" fillId="37" borderId="13" xfId="0" applyNumberForma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167" fontId="0" fillId="38" borderId="0" xfId="0" applyNumberFormat="1" applyFill="1" applyAlignment="1">
      <alignment/>
    </xf>
    <xf numFmtId="0" fontId="7" fillId="38" borderId="0" xfId="0" applyFont="1" applyFill="1" applyAlignment="1" applyProtection="1">
      <alignment horizontal="right"/>
      <protection/>
    </xf>
    <xf numFmtId="0" fontId="2" fillId="38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" fillId="37" borderId="0" xfId="0" applyFont="1" applyFill="1" applyAlignment="1">
      <alignment/>
    </xf>
    <xf numFmtId="167" fontId="0" fillId="37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70"/>
  <sheetViews>
    <sheetView zoomScale="75" zoomScaleNormal="75" zoomScalePageLayoutView="0" workbookViewId="0" topLeftCell="A1">
      <pane xSplit="4680" ySplit="4860" topLeftCell="BT38" activePane="topLeft" state="split"/>
      <selection pane="topLeft" activeCell="BV46" sqref="BV46"/>
      <selection pane="topRight" activeCell="BT11" sqref="BT11"/>
      <selection pane="bottomLeft" activeCell="B56" sqref="B56"/>
      <selection pane="bottomRight" activeCell="BT38" sqref="BT38"/>
    </sheetView>
  </sheetViews>
  <sheetFormatPr defaultColWidth="9.140625" defaultRowHeight="12.75"/>
  <cols>
    <col min="7" max="7" width="16.28125" style="0" bestFit="1" customWidth="1"/>
    <col min="8" max="8" width="16.57421875" style="0" customWidth="1"/>
    <col min="9" max="16" width="9.140625" style="24" customWidth="1"/>
    <col min="17" max="17" width="18.00390625" style="24" customWidth="1"/>
    <col min="61" max="61" width="9.57421875" style="0" bestFit="1" customWidth="1"/>
    <col min="62" max="62" width="9.57421875" style="0" customWidth="1"/>
    <col min="92" max="107" width="9.28125" style="0" bestFit="1" customWidth="1"/>
    <col min="109" max="114" width="9.28125" style="0" bestFit="1" customWidth="1"/>
    <col min="116" max="116" width="9.7109375" style="0" bestFit="1" customWidth="1"/>
    <col min="117" max="117" width="9.421875" style="0" bestFit="1" customWidth="1"/>
    <col min="118" max="118" width="9.28125" style="0" customWidth="1"/>
    <col min="119" max="119" width="9.7109375" style="0" bestFit="1" customWidth="1"/>
    <col min="120" max="120" width="9.421875" style="0" bestFit="1" customWidth="1"/>
    <col min="121" max="121" width="9.7109375" style="0" bestFit="1" customWidth="1"/>
    <col min="122" max="124" width="9.421875" style="0" bestFit="1" customWidth="1"/>
    <col min="125" max="125" width="9.7109375" style="0" bestFit="1" customWidth="1"/>
    <col min="127" max="127" width="9.7109375" style="0" bestFit="1" customWidth="1"/>
    <col min="128" max="128" width="9.421875" style="0" bestFit="1" customWidth="1"/>
    <col min="129" max="132" width="9.7109375" style="0" bestFit="1" customWidth="1"/>
    <col min="133" max="134" width="9.421875" style="0" bestFit="1" customWidth="1"/>
    <col min="135" max="135" width="9.28125" style="0" customWidth="1"/>
    <col min="137" max="139" width="9.28125" style="0" bestFit="1" customWidth="1"/>
    <col min="141" max="142" width="9.28125" style="0" bestFit="1" customWidth="1"/>
    <col min="143" max="143" width="13.140625" style="0" customWidth="1"/>
    <col min="144" max="147" width="9.28125" style="0" bestFit="1" customWidth="1"/>
  </cols>
  <sheetData>
    <row r="1" spans="17:84" ht="12.75">
      <c r="Q1" s="143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7:84" ht="15.75">
      <c r="Q2" s="147" t="s">
        <v>348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5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6" t="s">
        <v>74</v>
      </c>
      <c r="BO2" s="146" t="s">
        <v>75</v>
      </c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7:96" ht="15.75">
      <c r="Q3" s="147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5"/>
      <c r="AR3" s="144"/>
      <c r="AS3" s="144"/>
      <c r="AT3" s="144"/>
      <c r="AU3" s="144"/>
      <c r="AV3" s="144"/>
      <c r="AW3" s="144"/>
      <c r="AX3" s="144"/>
      <c r="AY3" s="144"/>
      <c r="AZ3" s="144"/>
      <c r="BA3" s="146" t="s">
        <v>75</v>
      </c>
      <c r="BB3" s="146"/>
      <c r="BC3" s="146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P3" s="38"/>
      <c r="CQ3" s="38"/>
      <c r="CR3" s="38"/>
    </row>
    <row r="4" spans="7:142" ht="15.75">
      <c r="G4" s="26"/>
      <c r="H4" s="26"/>
      <c r="I4" s="25"/>
      <c r="J4" s="25"/>
      <c r="K4" s="25"/>
      <c r="L4" s="25"/>
      <c r="M4" s="25"/>
      <c r="N4" s="25"/>
      <c r="P4" s="25"/>
      <c r="Q4" s="25"/>
      <c r="S4" s="106" t="s">
        <v>346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 t="s">
        <v>283</v>
      </c>
      <c r="AI4" s="1"/>
      <c r="AJ4" s="1"/>
      <c r="AK4" s="1"/>
      <c r="AL4" s="1"/>
      <c r="AM4" s="1"/>
      <c r="AN4" s="1"/>
      <c r="AO4" s="1"/>
      <c r="AP4" s="1"/>
      <c r="AQ4" s="1"/>
      <c r="AR4" s="35" t="s">
        <v>195</v>
      </c>
      <c r="AS4" s="1"/>
      <c r="AT4" s="1"/>
      <c r="BA4" s="35" t="s">
        <v>187</v>
      </c>
      <c r="BB4" s="28" t="s">
        <v>118</v>
      </c>
      <c r="BC4" s="28"/>
      <c r="BF4" s="35" t="s">
        <v>186</v>
      </c>
      <c r="BH4" s="32"/>
      <c r="BI4" s="35" t="s">
        <v>188</v>
      </c>
      <c r="BJ4" s="35" t="s">
        <v>245</v>
      </c>
      <c r="BM4" s="34" t="s">
        <v>72</v>
      </c>
      <c r="BN4" s="37" t="s">
        <v>7</v>
      </c>
      <c r="BO4" s="37" t="s">
        <v>21</v>
      </c>
      <c r="CH4" s="10" t="s">
        <v>70</v>
      </c>
      <c r="CP4" s="10"/>
      <c r="CQ4" s="10"/>
      <c r="CR4" s="10"/>
      <c r="EK4" s="51"/>
      <c r="EL4" s="10"/>
    </row>
    <row r="5" spans="2:141" ht="15.75">
      <c r="B5" s="51" t="s">
        <v>317</v>
      </c>
      <c r="C5" s="51"/>
      <c r="D5" s="51"/>
      <c r="E5" s="46"/>
      <c r="F5" s="46"/>
      <c r="G5" s="110"/>
      <c r="H5" s="110"/>
      <c r="I5" s="46" t="s">
        <v>271</v>
      </c>
      <c r="J5" s="46"/>
      <c r="K5" s="46" t="s">
        <v>272</v>
      </c>
      <c r="L5" s="46"/>
      <c r="M5" s="46" t="s">
        <v>310</v>
      </c>
      <c r="N5"/>
      <c r="O5" s="25"/>
      <c r="P5"/>
      <c r="Q5" s="51" t="s">
        <v>347</v>
      </c>
      <c r="S5" s="2" t="s">
        <v>1</v>
      </c>
      <c r="T5" s="2" t="s">
        <v>1</v>
      </c>
      <c r="U5" s="2" t="s">
        <v>2</v>
      </c>
      <c r="V5" s="2" t="s">
        <v>1</v>
      </c>
      <c r="W5" s="2" t="s">
        <v>2</v>
      </c>
      <c r="X5" s="2" t="s">
        <v>1</v>
      </c>
      <c r="Y5" s="2" t="s">
        <v>2</v>
      </c>
      <c r="Z5" s="2" t="s">
        <v>1</v>
      </c>
      <c r="AA5" s="2" t="s">
        <v>2</v>
      </c>
      <c r="AB5" s="2" t="s">
        <v>1</v>
      </c>
      <c r="AC5" s="2" t="s">
        <v>2</v>
      </c>
      <c r="AD5" s="2" t="s">
        <v>1</v>
      </c>
      <c r="AE5" s="2" t="s">
        <v>2</v>
      </c>
      <c r="AF5" s="2" t="s">
        <v>1</v>
      </c>
      <c r="AG5" s="2" t="s">
        <v>2</v>
      </c>
      <c r="AH5" s="2" t="s">
        <v>1</v>
      </c>
      <c r="AI5" s="2" t="s">
        <v>2</v>
      </c>
      <c r="AJ5" s="2" t="s">
        <v>1</v>
      </c>
      <c r="AK5" s="2" t="s">
        <v>2</v>
      </c>
      <c r="AL5" s="2" t="s">
        <v>1</v>
      </c>
      <c r="AM5" s="2" t="s">
        <v>2</v>
      </c>
      <c r="AN5" s="2" t="s">
        <v>1</v>
      </c>
      <c r="AO5" s="2" t="s">
        <v>2</v>
      </c>
      <c r="AP5" s="2" t="s">
        <v>1</v>
      </c>
      <c r="AQ5" s="2" t="s">
        <v>2</v>
      </c>
      <c r="AR5" s="62">
        <v>0.2519457013574661</v>
      </c>
      <c r="AS5" s="2" t="s">
        <v>1</v>
      </c>
      <c r="AT5" s="2" t="s">
        <v>2</v>
      </c>
      <c r="BA5" s="36">
        <v>0.03764705882352941</v>
      </c>
      <c r="BB5" s="38">
        <v>0.7134986225895317</v>
      </c>
      <c r="BC5" s="38"/>
      <c r="BF5" s="36">
        <v>0.12</v>
      </c>
      <c r="BG5" s="36"/>
      <c r="BI5" s="21">
        <v>0.03819004524886878</v>
      </c>
      <c r="BJ5">
        <v>27.459136528925633</v>
      </c>
      <c r="BM5" s="35" t="s">
        <v>73</v>
      </c>
      <c r="BN5" s="36">
        <v>1.7981900452488688</v>
      </c>
      <c r="BO5" s="36">
        <v>0.12</v>
      </c>
      <c r="BQ5" s="10" t="s">
        <v>291</v>
      </c>
      <c r="BR5" s="10"/>
      <c r="CH5" s="10" t="s">
        <v>117</v>
      </c>
      <c r="CP5" s="42"/>
      <c r="CQ5" s="42"/>
      <c r="CR5" s="42"/>
      <c r="CS5" s="42"/>
      <c r="CT5" s="42"/>
      <c r="CU5" s="42"/>
      <c r="CV5" s="42"/>
      <c r="CW5" s="42"/>
      <c r="CX5" s="42"/>
      <c r="CY5" s="55" t="s">
        <v>108</v>
      </c>
      <c r="CZ5" s="55"/>
      <c r="DA5" s="42"/>
      <c r="DB5" s="42" t="s">
        <v>91</v>
      </c>
      <c r="DC5" s="42" t="s">
        <v>91</v>
      </c>
      <c r="DD5" s="42"/>
      <c r="DE5" s="42"/>
      <c r="DF5" s="42"/>
      <c r="DG5" s="42"/>
      <c r="DH5" s="42"/>
      <c r="DI5" s="42"/>
      <c r="DJ5" s="42"/>
      <c r="DK5" s="42"/>
      <c r="DL5" s="63" t="s">
        <v>345</v>
      </c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63" t="s">
        <v>344</v>
      </c>
      <c r="DX5" s="42"/>
      <c r="DY5" s="42"/>
      <c r="DZ5" s="42"/>
      <c r="EA5" s="42"/>
      <c r="EB5" s="42"/>
      <c r="EC5" s="42"/>
      <c r="ED5" s="42"/>
      <c r="EE5" s="42"/>
      <c r="EF5" s="42"/>
      <c r="EK5" s="51" t="s">
        <v>343</v>
      </c>
    </row>
    <row r="6" spans="1:145" ht="14.25">
      <c r="A6" s="72"/>
      <c r="B6" s="39" t="s">
        <v>215</v>
      </c>
      <c r="C6" s="39" t="s">
        <v>94</v>
      </c>
      <c r="D6" s="39" t="s">
        <v>95</v>
      </c>
      <c r="E6" s="46" t="s">
        <v>318</v>
      </c>
      <c r="F6" s="81" t="s">
        <v>319</v>
      </c>
      <c r="G6" s="80" t="s">
        <v>271</v>
      </c>
      <c r="H6" s="80" t="s">
        <v>272</v>
      </c>
      <c r="I6" s="18" t="s">
        <v>53</v>
      </c>
      <c r="J6" s="18" t="s">
        <v>54</v>
      </c>
      <c r="K6" s="18" t="s">
        <v>53</v>
      </c>
      <c r="L6" s="18" t="s">
        <v>54</v>
      </c>
      <c r="M6" s="19" t="s">
        <v>55</v>
      </c>
      <c r="N6" s="19" t="s">
        <v>56</v>
      </c>
      <c r="O6" s="20" t="s">
        <v>57</v>
      </c>
      <c r="P6" s="20" t="s">
        <v>58</v>
      </c>
      <c r="Q6" s="49" t="s">
        <v>349</v>
      </c>
      <c r="R6" s="5" t="s">
        <v>59</v>
      </c>
      <c r="S6" s="2" t="s">
        <v>3</v>
      </c>
      <c r="T6" s="2" t="s">
        <v>3</v>
      </c>
      <c r="U6" s="2" t="s">
        <v>3</v>
      </c>
      <c r="V6" s="2" t="s">
        <v>4</v>
      </c>
      <c r="W6" s="2" t="s">
        <v>4</v>
      </c>
      <c r="X6" s="2" t="s">
        <v>5</v>
      </c>
      <c r="Y6" s="2" t="s">
        <v>5</v>
      </c>
      <c r="Z6" s="2" t="s">
        <v>6</v>
      </c>
      <c r="AA6" s="2" t="s">
        <v>6</v>
      </c>
      <c r="AB6" s="2" t="s">
        <v>7</v>
      </c>
      <c r="AC6" s="2" t="s">
        <v>7</v>
      </c>
      <c r="AD6" s="2" t="s">
        <v>8</v>
      </c>
      <c r="AE6" s="2" t="s">
        <v>8</v>
      </c>
      <c r="AF6" s="2" t="s">
        <v>9</v>
      </c>
      <c r="AG6" s="2" t="s">
        <v>9</v>
      </c>
      <c r="AH6" s="2" t="s">
        <v>9</v>
      </c>
      <c r="AI6" s="2" t="s">
        <v>9</v>
      </c>
      <c r="AJ6" s="2" t="s">
        <v>10</v>
      </c>
      <c r="AK6" s="2" t="s">
        <v>10</v>
      </c>
      <c r="AL6" s="2" t="s">
        <v>11</v>
      </c>
      <c r="AM6" s="2" t="s">
        <v>11</v>
      </c>
      <c r="AN6" s="2" t="s">
        <v>12</v>
      </c>
      <c r="AO6" s="2" t="s">
        <v>12</v>
      </c>
      <c r="AP6" s="2" t="s">
        <v>13</v>
      </c>
      <c r="AQ6" s="2" t="s">
        <v>13</v>
      </c>
      <c r="AR6" s="2" t="s">
        <v>76</v>
      </c>
      <c r="AS6" s="2" t="s">
        <v>14</v>
      </c>
      <c r="AT6" s="2" t="s">
        <v>14</v>
      </c>
      <c r="AU6" s="2" t="s">
        <v>15</v>
      </c>
      <c r="AV6" t="s">
        <v>16</v>
      </c>
      <c r="AW6" s="2" t="s">
        <v>17</v>
      </c>
      <c r="AX6" t="s">
        <v>18</v>
      </c>
      <c r="AY6" s="2" t="s">
        <v>19</v>
      </c>
      <c r="AZ6" t="s">
        <v>20</v>
      </c>
      <c r="BA6" t="s">
        <v>193</v>
      </c>
      <c r="BB6" s="10" t="s">
        <v>120</v>
      </c>
      <c r="BC6" s="10" t="s">
        <v>301</v>
      </c>
      <c r="BD6" s="2" t="s">
        <v>21</v>
      </c>
      <c r="BE6" t="s">
        <v>22</v>
      </c>
      <c r="BF6" t="s">
        <v>194</v>
      </c>
      <c r="BG6" s="2" t="s">
        <v>23</v>
      </c>
      <c r="BH6" t="s">
        <v>24</v>
      </c>
      <c r="BI6" t="s">
        <v>119</v>
      </c>
      <c r="BJ6" t="s">
        <v>244</v>
      </c>
      <c r="BK6" s="5" t="s">
        <v>59</v>
      </c>
      <c r="BL6" s="5"/>
      <c r="BN6" s="33" t="s">
        <v>261</v>
      </c>
      <c r="BO6" s="77" t="s">
        <v>262</v>
      </c>
      <c r="BQ6" s="28" t="s">
        <v>101</v>
      </c>
      <c r="BR6" s="28" t="s">
        <v>101</v>
      </c>
      <c r="BS6" s="28" t="s">
        <v>64</v>
      </c>
      <c r="BT6" s="28" t="s">
        <v>202</v>
      </c>
      <c r="BU6" s="28" t="s">
        <v>202</v>
      </c>
      <c r="BV6" s="28" t="s">
        <v>203</v>
      </c>
      <c r="BW6" s="28" t="s">
        <v>204</v>
      </c>
      <c r="BX6" s="28" t="s">
        <v>205</v>
      </c>
      <c r="BY6" s="28" t="s">
        <v>206</v>
      </c>
      <c r="BZ6" s="28" t="s">
        <v>207</v>
      </c>
      <c r="CA6" s="28" t="s">
        <v>208</v>
      </c>
      <c r="CB6" s="28" t="s">
        <v>209</v>
      </c>
      <c r="CC6" s="28" t="s">
        <v>102</v>
      </c>
      <c r="CD6" s="28" t="s">
        <v>102</v>
      </c>
      <c r="CE6" s="28" t="s">
        <v>103</v>
      </c>
      <c r="CF6" s="28" t="s">
        <v>104</v>
      </c>
      <c r="CG6" s="28" t="s">
        <v>105</v>
      </c>
      <c r="CH6" s="10" t="s">
        <v>66</v>
      </c>
      <c r="CI6" s="10" t="s">
        <v>67</v>
      </c>
      <c r="CJ6" s="10" t="s">
        <v>68</v>
      </c>
      <c r="CK6" s="10" t="s">
        <v>69</v>
      </c>
      <c r="CM6" s="10" t="s">
        <v>76</v>
      </c>
      <c r="CN6" s="10" t="s">
        <v>84</v>
      </c>
      <c r="CO6" s="10" t="s">
        <v>246</v>
      </c>
      <c r="CP6" s="10" t="s">
        <v>93</v>
      </c>
      <c r="CQ6" s="10" t="s">
        <v>93</v>
      </c>
      <c r="CR6" s="10" t="s">
        <v>247</v>
      </c>
      <c r="CS6" s="10" t="s">
        <v>17</v>
      </c>
      <c r="CT6" s="10" t="s">
        <v>9</v>
      </c>
      <c r="CU6" s="10" t="s">
        <v>281</v>
      </c>
      <c r="CV6" s="10" t="s">
        <v>5</v>
      </c>
      <c r="CW6" s="10" t="s">
        <v>90</v>
      </c>
      <c r="CX6" s="28" t="s">
        <v>101</v>
      </c>
      <c r="CY6" s="28" t="s">
        <v>112</v>
      </c>
      <c r="CZ6" s="28" t="s">
        <v>300</v>
      </c>
      <c r="DA6" s="28" t="s">
        <v>292</v>
      </c>
      <c r="DB6" s="42" t="s">
        <v>85</v>
      </c>
      <c r="DC6" s="42" t="s">
        <v>86</v>
      </c>
      <c r="DD6" s="42"/>
      <c r="DE6" s="55" t="s">
        <v>249</v>
      </c>
      <c r="DF6" s="55" t="s">
        <v>273</v>
      </c>
      <c r="DG6" s="55" t="s">
        <v>250</v>
      </c>
      <c r="DH6" s="55" t="s">
        <v>251</v>
      </c>
      <c r="DI6" s="42" t="s">
        <v>252</v>
      </c>
      <c r="DJ6" s="42" t="s">
        <v>302</v>
      </c>
      <c r="DK6" s="42"/>
      <c r="DL6" s="10" t="s">
        <v>76</v>
      </c>
      <c r="DM6" s="10" t="s">
        <v>246</v>
      </c>
      <c r="DN6" s="10" t="s">
        <v>247</v>
      </c>
      <c r="DO6" s="10" t="s">
        <v>77</v>
      </c>
      <c r="DP6" s="10" t="s">
        <v>17</v>
      </c>
      <c r="DQ6" s="10" t="s">
        <v>9</v>
      </c>
      <c r="DR6" s="10" t="s">
        <v>5</v>
      </c>
      <c r="DS6" s="10" t="s">
        <v>90</v>
      </c>
      <c r="DT6" s="28" t="s">
        <v>63</v>
      </c>
      <c r="DU6" s="28" t="s">
        <v>102</v>
      </c>
      <c r="DV6" s="42"/>
      <c r="DW6" s="10" t="s">
        <v>76</v>
      </c>
      <c r="DX6" s="10" t="s">
        <v>84</v>
      </c>
      <c r="DY6" s="10" t="s">
        <v>77</v>
      </c>
      <c r="DZ6" s="10" t="s">
        <v>17</v>
      </c>
      <c r="EA6" s="10" t="s">
        <v>9</v>
      </c>
      <c r="EB6" s="10" t="s">
        <v>5</v>
      </c>
      <c r="EC6" s="10" t="s">
        <v>90</v>
      </c>
      <c r="ED6" s="28" t="s">
        <v>63</v>
      </c>
      <c r="EE6" s="28"/>
      <c r="EF6" s="28"/>
      <c r="EG6" s="33" t="s">
        <v>96</v>
      </c>
      <c r="EH6" s="33" t="s">
        <v>97</v>
      </c>
      <c r="EI6" s="33" t="s">
        <v>98</v>
      </c>
      <c r="EJ6" s="2"/>
      <c r="EK6" s="33" t="s">
        <v>99</v>
      </c>
      <c r="EL6" s="33" t="s">
        <v>248</v>
      </c>
      <c r="EM6" s="10" t="s">
        <v>106</v>
      </c>
      <c r="EN6" s="28" t="s">
        <v>107</v>
      </c>
      <c r="EO6" s="33" t="s">
        <v>98</v>
      </c>
    </row>
    <row r="7" spans="1:149" ht="12.75">
      <c r="A7" s="72" t="s">
        <v>216</v>
      </c>
      <c r="B7" s="73">
        <v>83.33333333333333</v>
      </c>
      <c r="C7" s="7">
        <v>20</v>
      </c>
      <c r="D7" s="7">
        <v>230</v>
      </c>
      <c r="E7" s="13" t="s">
        <v>159</v>
      </c>
      <c r="F7" s="60">
        <v>1</v>
      </c>
      <c r="G7" s="4">
        <v>36472.67361111111</v>
      </c>
      <c r="H7" s="4">
        <v>36473.677083333336</v>
      </c>
      <c r="I7" s="6">
        <v>50.38333333333333</v>
      </c>
      <c r="J7" s="1">
        <v>-0.6666666666666666</v>
      </c>
      <c r="K7" s="6">
        <v>46.766666666666666</v>
      </c>
      <c r="L7" s="1">
        <v>-7.183333333333334</v>
      </c>
      <c r="M7" s="1">
        <v>3.6983783783783784</v>
      </c>
      <c r="N7" s="1">
        <v>3.4657142857142857</v>
      </c>
      <c r="O7" s="1">
        <v>0.6880708933270024</v>
      </c>
      <c r="P7" s="1">
        <v>0.6880708933270024</v>
      </c>
      <c r="Q7" s="139">
        <v>3053.0441666789648</v>
      </c>
      <c r="R7" s="5">
        <v>60.466919770676846</v>
      </c>
      <c r="S7" s="1">
        <v>2.888607782302639</v>
      </c>
      <c r="T7" s="1">
        <v>2.888607782302639</v>
      </c>
      <c r="U7" s="1">
        <v>2.888607782302639</v>
      </c>
      <c r="V7" s="1">
        <v>4.615960060466113</v>
      </c>
      <c r="W7" s="1">
        <v>0.660210277102333</v>
      </c>
      <c r="X7" s="1">
        <v>0</v>
      </c>
      <c r="Y7" s="1">
        <v>0</v>
      </c>
      <c r="Z7" s="1">
        <v>0</v>
      </c>
      <c r="AA7" s="1">
        <v>0</v>
      </c>
      <c r="AB7" s="1">
        <v>546.3763080205217</v>
      </c>
      <c r="AC7" s="1">
        <v>0.3103824220393438</v>
      </c>
      <c r="AD7" s="1">
        <v>0</v>
      </c>
      <c r="AE7" s="1">
        <v>0</v>
      </c>
      <c r="AF7" s="1">
        <v>625.2860760032702</v>
      </c>
      <c r="AG7" s="1">
        <v>31.390659997074092</v>
      </c>
      <c r="AH7" s="1">
        <v>625.2860760032702</v>
      </c>
      <c r="AI7" s="1">
        <v>31.390659997074092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1359.2862842566292</v>
      </c>
      <c r="AQ7" s="1">
        <v>18.086079390045175</v>
      </c>
      <c r="AR7" s="14">
        <f>AP7-AR$5*$AU7</f>
        <v>1193.5468099749555</v>
      </c>
      <c r="AS7" s="1">
        <v>20.384241689693717</v>
      </c>
      <c r="AT7" s="1">
        <v>5.6914009586599565</v>
      </c>
      <c r="AU7" s="5">
        <v>657.8380714125341</v>
      </c>
      <c r="AV7" s="5">
        <v>1.3603745112194836</v>
      </c>
      <c r="AW7" s="5">
        <v>251.93143996713334</v>
      </c>
      <c r="AX7" s="5">
        <v>0.9038598951841089</v>
      </c>
      <c r="AY7" s="5">
        <v>27.000779449512887</v>
      </c>
      <c r="AZ7" s="5">
        <v>6.3833818054532925</v>
      </c>
      <c r="BA7" s="14">
        <f>AY7-BA$5*$AU7</f>
        <v>2.235110878688076</v>
      </c>
      <c r="BB7" s="26">
        <f>BA7-BB$5*BI7</f>
        <v>2.235110878688076</v>
      </c>
      <c r="BC7" s="26">
        <f>BA7/AS7</f>
        <v>0.10964895887288018</v>
      </c>
      <c r="BD7" s="5">
        <v>69.34704523755246</v>
      </c>
      <c r="BE7" s="5">
        <v>8.341883950102908</v>
      </c>
      <c r="BF7" s="14"/>
      <c r="BG7" s="5">
        <v>14.793313693773804</v>
      </c>
      <c r="BH7" s="5">
        <v>6.5424532196308745</v>
      </c>
      <c r="BK7" s="5">
        <v>60.466919770676846</v>
      </c>
      <c r="BL7" s="5"/>
      <c r="BN7" s="21">
        <f aca="true" t="shared" si="0" ref="BN7:BN23">(AB7/$AU7)/BN$5</f>
        <v>0.4618886240800478</v>
      </c>
      <c r="BO7" s="21">
        <f aca="true" t="shared" si="1" ref="BO7:BO23">(BD7/$AU7)/BO$5</f>
        <v>0.8784715703750613</v>
      </c>
      <c r="BQ7" s="29">
        <v>177.36412212533963</v>
      </c>
      <c r="BR7" s="29">
        <v>177.36412212533963</v>
      </c>
      <c r="BS7" s="30">
        <v>38.54078512332669</v>
      </c>
      <c r="BT7" s="65">
        <v>1192.001010332513</v>
      </c>
      <c r="BU7" s="65">
        <v>1192.001010332513</v>
      </c>
      <c r="BV7" s="30">
        <v>93.84338554179276</v>
      </c>
      <c r="BW7" s="65">
        <v>209.32254742697145</v>
      </c>
      <c r="BX7" s="30">
        <v>56.49401572005606</v>
      </c>
      <c r="BY7" s="65">
        <v>197.25325825458907</v>
      </c>
      <c r="BZ7" s="30">
        <v>20.108348772213983</v>
      </c>
      <c r="CA7" s="65">
        <v>428.7625094460132</v>
      </c>
      <c r="CB7" s="30">
        <v>29.713072402429827</v>
      </c>
      <c r="CC7" s="66">
        <v>835.3383151275738</v>
      </c>
      <c r="CD7" s="66">
        <v>835.3383151275738</v>
      </c>
      <c r="CE7" s="66">
        <v>106.31543689469987</v>
      </c>
      <c r="CF7" s="29">
        <v>1191.7035047802508</v>
      </c>
      <c r="CG7" s="30">
        <v>156.41892376518092</v>
      </c>
      <c r="CH7" s="31">
        <v>304.7858386621565</v>
      </c>
      <c r="CI7" s="31">
        <v>138.0430488677369</v>
      </c>
      <c r="CJ7" s="31">
        <v>97.2823449704765</v>
      </c>
      <c r="CK7" s="31">
        <v>676.9365632060961</v>
      </c>
      <c r="CM7" s="5">
        <f aca="true" t="shared" si="2" ref="CM7:CM23">AP7-0.2519*AU7</f>
        <v>1193.5768740678118</v>
      </c>
      <c r="CN7" s="26">
        <f>AY7-0.0376*AU7</f>
        <v>2.2660679644016035</v>
      </c>
      <c r="CO7" s="26">
        <f>BB7</f>
        <v>2.235110878688076</v>
      </c>
      <c r="CP7" s="1">
        <f aca="true" t="shared" si="3" ref="CP7:CP23">AB7+1.45*AU7</f>
        <v>1500.241511568696</v>
      </c>
      <c r="CQ7" s="1">
        <f>CP7/1000</f>
        <v>1.500241511568696</v>
      </c>
      <c r="CR7" s="1"/>
      <c r="CS7" s="5">
        <f aca="true" t="shared" si="4" ref="CS7:CS23">AW7</f>
        <v>251.93143996713334</v>
      </c>
      <c r="CT7" s="1">
        <f aca="true" t="shared" si="5" ref="CT7:CT23">AF7</f>
        <v>625.2860760032702</v>
      </c>
      <c r="CU7" s="1">
        <f aca="true" t="shared" si="6" ref="CU7:CU23">CT7/BK7</f>
        <v>10.340961278905755</v>
      </c>
      <c r="CV7" s="1">
        <f aca="true" t="shared" si="7" ref="CV7:CV23">X7</f>
        <v>0</v>
      </c>
      <c r="CW7" s="1">
        <f aca="true" t="shared" si="8" ref="CW7:CW23">S7+V7+Z7+AL7+AN7+AS7</f>
        <v>27.888809532462467</v>
      </c>
      <c r="CX7" s="5">
        <f aca="true" t="shared" si="9" ref="CX7:CX23">BQ7</f>
        <v>177.36412212533963</v>
      </c>
      <c r="CY7" s="5">
        <f aca="true" t="shared" si="10" ref="CY7:CY23">CC7</f>
        <v>835.3383151275738</v>
      </c>
      <c r="CZ7" s="21">
        <f>CN7/BR7</f>
        <v>0.012776360502042342</v>
      </c>
      <c r="DA7" s="21">
        <f>BB7/CX7</f>
        <v>0.012601820773586713</v>
      </c>
      <c r="DB7" s="5">
        <f>CM7+CO7+CP7+CR7+CS7+CT7+CV7+CW7+CX7+CY7</f>
        <v>4613.862259270975</v>
      </c>
      <c r="DC7" s="5">
        <f>CM7+CO7+CP7+CR7+CS7+CT7+CV7+CW7+CX7</f>
        <v>3778.5239441434014</v>
      </c>
      <c r="DD7" s="5"/>
      <c r="DE7" s="21">
        <f aca="true" t="shared" si="11" ref="DE7:DE19">BQ7/AR7</f>
        <v>0.14860256895082424</v>
      </c>
      <c r="DF7" s="21">
        <f aca="true" t="shared" si="12" ref="DF7:DF23">CH7/AR7</f>
        <v>0.25536144549584266</v>
      </c>
      <c r="DG7" s="21">
        <f aca="true" t="shared" si="13" ref="DG7:DG23">(AW7/18)/(AR7/48)</f>
        <v>0.5628745916214093</v>
      </c>
      <c r="DH7" s="21"/>
      <c r="DI7" s="21"/>
      <c r="DJ7" s="21"/>
      <c r="DL7" s="14">
        <f aca="true" t="shared" si="14" ref="DL7:DL23">100*(CM7/$DB7)</f>
        <v>25.869365121801575</v>
      </c>
      <c r="DM7" s="14">
        <f aca="true" t="shared" si="15" ref="DM7:DM23">100*(CO7/$DB7)</f>
        <v>0.04844338112168177</v>
      </c>
      <c r="DN7" s="14">
        <f>100*(CR7/$DB7)</f>
        <v>0</v>
      </c>
      <c r="DO7" s="14">
        <f aca="true" t="shared" si="16" ref="DO7:DO23">100*(CP7/$DB7)</f>
        <v>32.51595793858279</v>
      </c>
      <c r="DP7" s="14">
        <f aca="true" t="shared" si="17" ref="DP7:DP23">100*(CS7/$DB7)</f>
        <v>5.460315583997091</v>
      </c>
      <c r="DQ7" s="14">
        <f aca="true" t="shared" si="18" ref="DQ7:DQ23">100*(CT7/$DB7)</f>
        <v>13.552335134124052</v>
      </c>
      <c r="DR7" s="14">
        <f aca="true" t="shared" si="19" ref="DR7:DR23">100*(CV7/$DB7)</f>
        <v>0</v>
      </c>
      <c r="DS7" s="14">
        <f aca="true" t="shared" si="20" ref="DS7:DS23">100*(CW7/$DB7)</f>
        <v>0.6044569162510955</v>
      </c>
      <c r="DT7" s="14">
        <f aca="true" t="shared" si="21" ref="DT7:DT19">100*(CX7/$DB7)</f>
        <v>3.84415728425678</v>
      </c>
      <c r="DU7" s="14">
        <f aca="true" t="shared" si="22" ref="DU7:DU23">100*(CY7/$DB7)</f>
        <v>18.104968639864932</v>
      </c>
      <c r="DV7" s="14"/>
      <c r="DW7" s="14">
        <f aca="true" t="shared" si="23" ref="DW7:DW23">100*(CM7/$DC7)</f>
        <v>31.58844278115056</v>
      </c>
      <c r="DX7" s="14">
        <f aca="true" t="shared" si="24" ref="DX7:DX23">100*(CN7/$DC7)</f>
        <v>0.059972306591147606</v>
      </c>
      <c r="DY7" s="14">
        <f aca="true" t="shared" si="25" ref="DY7:DY23">100*(CP7/$DC7)</f>
        <v>39.704433099968185</v>
      </c>
      <c r="DZ7" s="14">
        <f aca="true" t="shared" si="26" ref="DZ7:DZ23">100*(CS7/$DC7)</f>
        <v>6.667456490718274</v>
      </c>
      <c r="EA7" s="14">
        <f aca="true" t="shared" si="27" ref="EA7:EA23">100*(CT7/$DC7)</f>
        <v>16.54842169182082</v>
      </c>
      <c r="EB7" s="14">
        <f aca="true" t="shared" si="28" ref="EB7:EB23">100*(CV7/$DC7)</f>
        <v>0</v>
      </c>
      <c r="EC7" s="14">
        <f aca="true" t="shared" si="29" ref="EC7:EC23">100*(CW7/$DC7)</f>
        <v>0.738087410447386</v>
      </c>
      <c r="ED7" s="14">
        <f aca="true" t="shared" si="30" ref="ED7:ED23">100*(CX7/$DC7)</f>
        <v>4.694005509750672</v>
      </c>
      <c r="EE7" s="14"/>
      <c r="EG7" s="14">
        <f>DW7+DZ7+EA7+ED7</f>
        <v>59.49832647344033</v>
      </c>
      <c r="EH7" s="14">
        <f>DY7+EB7</f>
        <v>39.704433099968185</v>
      </c>
      <c r="EI7" s="14">
        <f>SUM(EG7:EH7)</f>
        <v>99.20275957340851</v>
      </c>
      <c r="EK7" s="14">
        <f>DO7</f>
        <v>32.51595793858279</v>
      </c>
      <c r="EL7" s="14"/>
      <c r="EM7" s="14">
        <f>DT7+DU7</f>
        <v>21.949125924121713</v>
      </c>
      <c r="EN7" s="14">
        <f>DL7+DM7+SUM(DP7:DS7)</f>
        <v>45.5349161372955</v>
      </c>
      <c r="EO7" s="14">
        <f aca="true" t="shared" si="31" ref="EO7:EO23">SUM(EK7:EN7)</f>
        <v>100</v>
      </c>
      <c r="ES7" s="14"/>
    </row>
    <row r="8" spans="1:149" ht="12.75">
      <c r="A8" s="72" t="s">
        <v>217</v>
      </c>
      <c r="B8" s="73">
        <v>173.33333333333334</v>
      </c>
      <c r="C8" s="7">
        <v>100</v>
      </c>
      <c r="D8" s="7">
        <v>275</v>
      </c>
      <c r="E8" s="13" t="s">
        <v>160</v>
      </c>
      <c r="F8" s="60">
        <v>1</v>
      </c>
      <c r="G8" s="4">
        <v>36473.683333333334</v>
      </c>
      <c r="H8" s="4">
        <v>36474.697916666664</v>
      </c>
      <c r="I8" s="17">
        <v>46.71485140563426</v>
      </c>
      <c r="J8" s="17">
        <v>-7.2231485943684675</v>
      </c>
      <c r="K8" s="17">
        <v>41.634564102556894</v>
      </c>
      <c r="L8" s="17">
        <v>-10.811794871797431</v>
      </c>
      <c r="M8" s="1"/>
      <c r="N8" s="1"/>
      <c r="O8" s="1">
        <v>0.960280696064081</v>
      </c>
      <c r="P8" s="1">
        <v>0.960280696064081</v>
      </c>
      <c r="Q8" s="139">
        <v>3247.559499989132</v>
      </c>
      <c r="R8" s="5">
        <v>81.5482664914318</v>
      </c>
      <c r="S8" s="1">
        <v>10.42488755725363</v>
      </c>
      <c r="T8" s="1">
        <v>10.42488755725363</v>
      </c>
      <c r="U8" s="1">
        <v>3.6427317463864948</v>
      </c>
      <c r="V8" s="1">
        <v>4.925995709667469</v>
      </c>
      <c r="W8" s="1">
        <v>1.5803986363288316</v>
      </c>
      <c r="X8" s="1">
        <v>0</v>
      </c>
      <c r="Y8" s="1">
        <v>0</v>
      </c>
      <c r="Z8" s="1">
        <v>0</v>
      </c>
      <c r="AA8" s="1">
        <v>0</v>
      </c>
      <c r="AB8" s="1">
        <v>473.79291855892836</v>
      </c>
      <c r="AC8" s="1">
        <v>85.45704215781204</v>
      </c>
      <c r="AD8" s="1">
        <v>0</v>
      </c>
      <c r="AE8" s="1">
        <v>0</v>
      </c>
      <c r="AF8" s="1">
        <v>626.2324459363106</v>
      </c>
      <c r="AG8" s="1">
        <v>0.13979730840636967</v>
      </c>
      <c r="AH8" s="1">
        <v>626.2324459363106</v>
      </c>
      <c r="AI8" s="1">
        <v>0.13979730840636967</v>
      </c>
      <c r="AJ8" s="1">
        <v>0</v>
      </c>
      <c r="AK8" s="1">
        <v>0</v>
      </c>
      <c r="AL8" s="1">
        <v>1.9436752762735023</v>
      </c>
      <c r="AM8" s="1">
        <v>1.9436752762735023</v>
      </c>
      <c r="AN8" s="1">
        <v>0</v>
      </c>
      <c r="AO8" s="1">
        <v>0</v>
      </c>
      <c r="AP8" s="1">
        <v>4844.346765883542</v>
      </c>
      <c r="AQ8" s="1">
        <v>47.64722790363954</v>
      </c>
      <c r="AR8" s="14"/>
      <c r="AS8" s="1">
        <v>31.976327839964814</v>
      </c>
      <c r="AT8" s="1">
        <v>3.315712210144723</v>
      </c>
      <c r="AU8" s="5">
        <v>1198.9794731400552</v>
      </c>
      <c r="AV8" s="5">
        <v>4.9055030001029305</v>
      </c>
      <c r="AW8" s="5">
        <v>564.4211858700273</v>
      </c>
      <c r="AX8" s="5">
        <v>70.97335947167191</v>
      </c>
      <c r="AY8" s="5">
        <v>33.24715440111637</v>
      </c>
      <c r="AZ8" s="5">
        <v>13.767042864545713</v>
      </c>
      <c r="BA8" s="14"/>
      <c r="BB8" s="26"/>
      <c r="BC8" s="26"/>
      <c r="BD8" s="5">
        <v>125.6685307414774</v>
      </c>
      <c r="BE8" s="5">
        <v>16.19593887437517</v>
      </c>
      <c r="BF8" s="14"/>
      <c r="BG8" s="5">
        <v>42.619598515350866</v>
      </c>
      <c r="BH8" s="5">
        <v>21.415672901109108</v>
      </c>
      <c r="BK8" s="5">
        <v>81.5482664914318</v>
      </c>
      <c r="BL8" s="5"/>
      <c r="BM8" s="5"/>
      <c r="BN8" s="21">
        <f t="shared" si="0"/>
        <v>0.21975624636753754</v>
      </c>
      <c r="BO8" s="21">
        <f t="shared" si="1"/>
        <v>0.8734409384310188</v>
      </c>
      <c r="BQ8" s="29">
        <v>344.24101537476935</v>
      </c>
      <c r="BR8" s="29">
        <v>344.24101537476935</v>
      </c>
      <c r="BS8" s="30">
        <v>45.10736779433609</v>
      </c>
      <c r="BT8" s="65"/>
      <c r="BU8" s="65">
        <v>1399.3966983370087</v>
      </c>
      <c r="BV8" s="30">
        <v>163.00194750557282</v>
      </c>
      <c r="BW8" s="65">
        <v>241.33265002399057</v>
      </c>
      <c r="BX8" s="30">
        <v>49.109273059766245</v>
      </c>
      <c r="BY8" s="65">
        <v>248.79850677879696</v>
      </c>
      <c r="BZ8" s="30">
        <v>18.905086234104274</v>
      </c>
      <c r="CA8" s="65">
        <v>750.4600041034736</v>
      </c>
      <c r="CB8" s="30">
        <v>20.949003290326477</v>
      </c>
      <c r="CC8" s="66"/>
      <c r="CD8" s="66">
        <v>1240.5911609062612</v>
      </c>
      <c r="CE8" s="66">
        <v>88.963362584197</v>
      </c>
      <c r="CF8" s="29">
        <v>1850.6731393323723</v>
      </c>
      <c r="CG8" s="30">
        <v>137.66415825888228</v>
      </c>
      <c r="CH8" s="31">
        <v>430.8371412016586</v>
      </c>
      <c r="CI8" s="31">
        <v>205.03968421197635</v>
      </c>
      <c r="CJ8" s="31">
        <v>156.6694153287898</v>
      </c>
      <c r="CK8" s="31">
        <v>958.5838440363599</v>
      </c>
      <c r="CM8" s="5">
        <f t="shared" si="2"/>
        <v>4542.323836599562</v>
      </c>
      <c r="CN8" s="26"/>
      <c r="CO8" s="26"/>
      <c r="CP8" s="1">
        <f t="shared" si="3"/>
        <v>2212.3131546120085</v>
      </c>
      <c r="CQ8" s="1">
        <f aca="true" t="shared" si="32" ref="CQ8:CQ30">CP8/1000</f>
        <v>2.2123131546120085</v>
      </c>
      <c r="CR8" s="1"/>
      <c r="CS8" s="5">
        <f t="shared" si="4"/>
        <v>564.4211858700273</v>
      </c>
      <c r="CT8" s="1">
        <f t="shared" si="5"/>
        <v>626.2324459363106</v>
      </c>
      <c r="CU8" s="1">
        <f t="shared" si="6"/>
        <v>7.679285812925382</v>
      </c>
      <c r="CV8" s="1">
        <f t="shared" si="7"/>
        <v>0</v>
      </c>
      <c r="CW8" s="1">
        <f t="shared" si="8"/>
        <v>49.270886383159414</v>
      </c>
      <c r="CX8" s="5">
        <f t="shared" si="9"/>
        <v>344.24101537476935</v>
      </c>
      <c r="CY8" s="5">
        <f t="shared" si="10"/>
        <v>0</v>
      </c>
      <c r="CZ8" s="21"/>
      <c r="DA8" s="21"/>
      <c r="DB8" s="5">
        <f aca="true" t="shared" si="33" ref="DB8:DB30">CM8+CO8+CP8+CR8+CS8+CT8+CV8+CW8+CX8+CY8</f>
        <v>8338.802524775838</v>
      </c>
      <c r="DC8" s="5">
        <f aca="true" t="shared" si="34" ref="DC8:DC30">CM8+CO8+CP8+CR8+CS8+CT8+CV8+CW8+CX8</f>
        <v>8338.802524775838</v>
      </c>
      <c r="DD8" s="5"/>
      <c r="DE8" s="21" t="e">
        <f t="shared" si="11"/>
        <v>#DIV/0!</v>
      </c>
      <c r="DF8" s="21" t="e">
        <f t="shared" si="12"/>
        <v>#DIV/0!</v>
      </c>
      <c r="DG8" s="21" t="e">
        <f t="shared" si="13"/>
        <v>#DIV/0!</v>
      </c>
      <c r="DH8" s="21"/>
      <c r="DI8" s="21"/>
      <c r="DJ8" s="21"/>
      <c r="DL8" s="14">
        <f t="shared" si="14"/>
        <v>54.47213581450855</v>
      </c>
      <c r="DM8" s="14">
        <f t="shared" si="15"/>
        <v>0</v>
      </c>
      <c r="DN8" s="14">
        <f aca="true" t="shared" si="35" ref="DN8:DN30">100*(CR8/$DB8)</f>
        <v>0</v>
      </c>
      <c r="DO8" s="14">
        <f t="shared" si="16"/>
        <v>26.53034591044569</v>
      </c>
      <c r="DP8" s="14">
        <f t="shared" si="17"/>
        <v>6.768611970280469</v>
      </c>
      <c r="DQ8" s="14">
        <f t="shared" si="18"/>
        <v>7.509860607391524</v>
      </c>
      <c r="DR8" s="14">
        <f t="shared" si="19"/>
        <v>0</v>
      </c>
      <c r="DS8" s="14">
        <f t="shared" si="20"/>
        <v>0.5908628515517449</v>
      </c>
      <c r="DT8" s="14">
        <f t="shared" si="21"/>
        <v>4.128182845822017</v>
      </c>
      <c r="DU8" s="14">
        <f t="shared" si="22"/>
        <v>0</v>
      </c>
      <c r="DV8" s="14"/>
      <c r="DW8" s="14">
        <f t="shared" si="23"/>
        <v>54.47213581450855</v>
      </c>
      <c r="DX8" s="14">
        <f t="shared" si="24"/>
        <v>0</v>
      </c>
      <c r="DY8" s="14">
        <f t="shared" si="25"/>
        <v>26.53034591044569</v>
      </c>
      <c r="DZ8" s="14">
        <f t="shared" si="26"/>
        <v>6.768611970280469</v>
      </c>
      <c r="EA8" s="14">
        <f t="shared" si="27"/>
        <v>7.509860607391524</v>
      </c>
      <c r="EB8" s="14">
        <f t="shared" si="28"/>
        <v>0</v>
      </c>
      <c r="EC8" s="14">
        <f t="shared" si="29"/>
        <v>0.5908628515517449</v>
      </c>
      <c r="ED8" s="14">
        <f t="shared" si="30"/>
        <v>4.128182845822017</v>
      </c>
      <c r="EE8" s="14"/>
      <c r="EG8" s="14">
        <f aca="true" t="shared" si="36" ref="EG8:EG30">DW8+DZ8+EA8+ED8</f>
        <v>72.87879123800255</v>
      </c>
      <c r="EH8" s="14">
        <f aca="true" t="shared" si="37" ref="EH8:EH30">DY8+EB8</f>
        <v>26.53034591044569</v>
      </c>
      <c r="EI8" s="14">
        <f aca="true" t="shared" si="38" ref="EI8:EI30">SUM(EG8:EH8)</f>
        <v>99.40913714844824</v>
      </c>
      <c r="EK8" s="14">
        <f aca="true" t="shared" si="39" ref="EK8:EK23">DO8</f>
        <v>26.53034591044569</v>
      </c>
      <c r="EL8" s="14"/>
      <c r="EM8" s="14">
        <f aca="true" t="shared" si="40" ref="EM8:EM23">DT8+DU8</f>
        <v>4.128182845822017</v>
      </c>
      <c r="EN8" s="14">
        <f aca="true" t="shared" si="41" ref="EN8:EN23">DL8+DM8+SUM(DP8:DS8)</f>
        <v>69.34147124373229</v>
      </c>
      <c r="EO8" s="14">
        <f t="shared" si="31"/>
        <v>100</v>
      </c>
      <c r="ES8" s="14"/>
    </row>
    <row r="9" spans="1:149" ht="12.75">
      <c r="A9" s="72" t="s">
        <v>218</v>
      </c>
      <c r="B9" s="73">
        <v>250</v>
      </c>
      <c r="C9" s="7">
        <v>175</v>
      </c>
      <c r="D9" s="7">
        <v>380</v>
      </c>
      <c r="E9" s="13" t="s">
        <v>161</v>
      </c>
      <c r="F9" s="60">
        <v>1</v>
      </c>
      <c r="G9" s="4">
        <v>36474.70486111111</v>
      </c>
      <c r="H9" s="4">
        <v>36475.69097222222</v>
      </c>
      <c r="I9" s="1">
        <v>41.43333333333333</v>
      </c>
      <c r="J9" s="1">
        <v>-10.883333333333333</v>
      </c>
      <c r="K9" s="1">
        <v>35.516666666666666</v>
      </c>
      <c r="L9" s="1">
        <v>-13.066666666666666</v>
      </c>
      <c r="M9" s="1">
        <v>4.60093023255814</v>
      </c>
      <c r="N9" s="1">
        <v>4.384736842105266</v>
      </c>
      <c r="O9" s="1">
        <v>0.47104517914590976</v>
      </c>
      <c r="P9" s="1">
        <v>0.47745181586851515</v>
      </c>
      <c r="Q9" s="139">
        <v>2948.1566666618323</v>
      </c>
      <c r="R9" s="5">
        <v>176.33441506818593</v>
      </c>
      <c r="S9" s="1">
        <v>9.197218632223205</v>
      </c>
      <c r="T9" s="1">
        <v>9.197218632223205</v>
      </c>
      <c r="U9" s="1">
        <v>1.1124971664174508</v>
      </c>
      <c r="V9" s="1">
        <v>9.899274966140199</v>
      </c>
      <c r="W9" s="1">
        <v>1.1194322903276464</v>
      </c>
      <c r="X9" s="1">
        <v>6.015873187857374</v>
      </c>
      <c r="Y9" s="1">
        <v>2.3317090452899008</v>
      </c>
      <c r="Z9" s="1">
        <v>0</v>
      </c>
      <c r="AA9" s="1">
        <v>0</v>
      </c>
      <c r="AB9" s="1">
        <v>338.6076584165576</v>
      </c>
      <c r="AC9" s="1">
        <v>5.13376410194838</v>
      </c>
      <c r="AD9" s="1">
        <v>0</v>
      </c>
      <c r="AE9" s="1">
        <v>0</v>
      </c>
      <c r="AF9" s="1">
        <v>441.9958807766816</v>
      </c>
      <c r="AG9" s="1">
        <v>28.648233112270255</v>
      </c>
      <c r="AH9" s="1">
        <v>441.9958807766816</v>
      </c>
      <c r="AI9" s="1">
        <v>28.648233112270255</v>
      </c>
      <c r="AJ9" s="1">
        <v>0</v>
      </c>
      <c r="AK9" s="1">
        <v>0</v>
      </c>
      <c r="AL9" s="1">
        <v>8.585891572013447</v>
      </c>
      <c r="AM9" s="1">
        <v>0.6372746661857188</v>
      </c>
      <c r="AN9" s="1">
        <v>0</v>
      </c>
      <c r="AO9" s="1">
        <v>0</v>
      </c>
      <c r="AP9" s="1">
        <v>1724.51850705353</v>
      </c>
      <c r="AQ9" s="1">
        <v>47.65149889621438</v>
      </c>
      <c r="AR9" s="14">
        <f aca="true" t="shared" si="42" ref="AR9:AR23">AP9-AR$5*$AU9</f>
        <v>1583.9359609106286</v>
      </c>
      <c r="AS9" s="1">
        <v>58.35517925220867</v>
      </c>
      <c r="AT9" s="1">
        <v>6.329246803888564</v>
      </c>
      <c r="AU9" s="5">
        <v>557.9874766088569</v>
      </c>
      <c r="AV9" s="5">
        <v>2.227492452735727</v>
      </c>
      <c r="AW9" s="5">
        <v>323.04912921124</v>
      </c>
      <c r="AX9" s="5">
        <v>25.036531887363008</v>
      </c>
      <c r="AY9" s="5">
        <v>39.655206722100985</v>
      </c>
      <c r="AZ9" s="5">
        <v>7.407357081323091</v>
      </c>
      <c r="BA9" s="14">
        <f>AY9-BA$5*$AU9</f>
        <v>18.648619367414607</v>
      </c>
      <c r="BB9" s="26">
        <f>BA9-BB$5*BI9</f>
        <v>18.648619367414607</v>
      </c>
      <c r="BC9" s="26">
        <f>BA9/AS9</f>
        <v>0.31957093794221836</v>
      </c>
      <c r="BD9" s="5">
        <v>58.03129261745788</v>
      </c>
      <c r="BE9" s="5">
        <v>6.447642205492221</v>
      </c>
      <c r="BF9" s="14"/>
      <c r="BG9" s="5">
        <v>15.503776997757743</v>
      </c>
      <c r="BH9" s="5">
        <v>6.698472969571469</v>
      </c>
      <c r="BK9" s="5">
        <v>176.33441506818593</v>
      </c>
      <c r="BL9" s="5"/>
      <c r="BM9" s="5"/>
      <c r="BN9" s="21">
        <f t="shared" si="0"/>
        <v>0.3374712153880722</v>
      </c>
      <c r="BO9" s="21">
        <f t="shared" si="1"/>
        <v>0.8666755535169054</v>
      </c>
      <c r="BQ9" s="29">
        <v>173.05126209950635</v>
      </c>
      <c r="BR9" s="29">
        <v>173.05126209950635</v>
      </c>
      <c r="BS9" s="30">
        <v>39.38081129571033</v>
      </c>
      <c r="BT9" s="65">
        <v>1110.7598601781046</v>
      </c>
      <c r="BU9" s="65">
        <v>1110.7598601781046</v>
      </c>
      <c r="BV9" s="30">
        <v>142.81086900359162</v>
      </c>
      <c r="BW9" s="65">
        <v>294.8739440139619</v>
      </c>
      <c r="BX9" s="30">
        <v>79.1848231650514</v>
      </c>
      <c r="BY9" s="65">
        <v>264.61777980835666</v>
      </c>
      <c r="BZ9" s="30">
        <v>28.956290517005367</v>
      </c>
      <c r="CA9" s="65">
        <v>575.7243015842334</v>
      </c>
      <c r="CB9" s="30">
        <v>40.89851629284986</v>
      </c>
      <c r="CC9" s="66">
        <v>1135.216025406552</v>
      </c>
      <c r="CD9" s="66">
        <v>1135.216025406552</v>
      </c>
      <c r="CE9" s="66">
        <v>149.03962997490663</v>
      </c>
      <c r="CF9" s="29">
        <v>1551.527864378891</v>
      </c>
      <c r="CG9" s="30">
        <v>204.793997100843</v>
      </c>
      <c r="CH9" s="31">
        <v>216.408358199516</v>
      </c>
      <c r="CI9" s="31">
        <v>79.46683746335927</v>
      </c>
      <c r="CJ9" s="31">
        <v>88.28903523494581</v>
      </c>
      <c r="CK9" s="31">
        <v>401.5453307442265</v>
      </c>
      <c r="CM9" s="5">
        <f t="shared" si="2"/>
        <v>1583.9614616957588</v>
      </c>
      <c r="CN9" s="26">
        <f>AY9-0.0376*AU9</f>
        <v>18.674877601607964</v>
      </c>
      <c r="CO9" s="26">
        <f aca="true" t="shared" si="43" ref="CO9:CO25">BB9</f>
        <v>18.648619367414607</v>
      </c>
      <c r="CP9" s="1">
        <f t="shared" si="3"/>
        <v>1147.6894994994002</v>
      </c>
      <c r="CQ9" s="1">
        <f t="shared" si="32"/>
        <v>1.1476894994994002</v>
      </c>
      <c r="CR9" s="1"/>
      <c r="CS9" s="5">
        <f t="shared" si="4"/>
        <v>323.04912921124</v>
      </c>
      <c r="CT9" s="1">
        <f t="shared" si="5"/>
        <v>441.9958807766816</v>
      </c>
      <c r="CU9" s="1">
        <f t="shared" si="6"/>
        <v>2.50657751979821</v>
      </c>
      <c r="CV9" s="1">
        <f t="shared" si="7"/>
        <v>6.015873187857374</v>
      </c>
      <c r="CW9" s="1">
        <f t="shared" si="8"/>
        <v>86.03756442258552</v>
      </c>
      <c r="CX9" s="5">
        <f t="shared" si="9"/>
        <v>173.05126209950635</v>
      </c>
      <c r="CY9" s="5">
        <f t="shared" si="10"/>
        <v>1135.216025406552</v>
      </c>
      <c r="CZ9" s="21">
        <f>CN9/BR9</f>
        <v>0.1079152927002041</v>
      </c>
      <c r="DA9" s="21">
        <f>BB9/CX9</f>
        <v>0.1077635559611894</v>
      </c>
      <c r="DB9" s="5">
        <f t="shared" si="33"/>
        <v>4915.665315666996</v>
      </c>
      <c r="DC9" s="5">
        <f t="shared" si="34"/>
        <v>3780.4492902604443</v>
      </c>
      <c r="DD9" s="5"/>
      <c r="DE9" s="21">
        <f t="shared" si="11"/>
        <v>0.10925395115091431</v>
      </c>
      <c r="DF9" s="21">
        <f t="shared" si="12"/>
        <v>0.13662696191018958</v>
      </c>
      <c r="DG9" s="21">
        <f t="shared" si="13"/>
        <v>0.543875741079859</v>
      </c>
      <c r="DH9" s="21">
        <f aca="true" t="shared" si="44" ref="DH9:DH23">X9/AR9</f>
        <v>0.0037980532902345105</v>
      </c>
      <c r="DI9" s="21">
        <f aca="true" t="shared" si="45" ref="DI9:DI30">1/DH9</f>
        <v>263.29277753189587</v>
      </c>
      <c r="DJ9" s="21">
        <f aca="true" t="shared" si="46" ref="DJ9:DJ23">DH9*AF9</f>
        <v>1.6787239092539759</v>
      </c>
      <c r="DL9" s="14">
        <f t="shared" si="14"/>
        <v>32.222727951950375</v>
      </c>
      <c r="DM9" s="14">
        <f t="shared" si="15"/>
        <v>0.3793712177266937</v>
      </c>
      <c r="DN9" s="14">
        <f t="shared" si="35"/>
        <v>0</v>
      </c>
      <c r="DO9" s="14">
        <f t="shared" si="16"/>
        <v>23.34759235624797</v>
      </c>
      <c r="DP9" s="14">
        <f t="shared" si="17"/>
        <v>6.571829212652696</v>
      </c>
      <c r="DQ9" s="14">
        <f t="shared" si="18"/>
        <v>8.991577993887653</v>
      </c>
      <c r="DR9" s="14">
        <f t="shared" si="19"/>
        <v>0.12238166761849799</v>
      </c>
      <c r="DS9" s="14">
        <f t="shared" si="20"/>
        <v>1.7502730332020429</v>
      </c>
      <c r="DT9" s="14">
        <f t="shared" si="21"/>
        <v>3.5204036684101507</v>
      </c>
      <c r="DU9" s="14">
        <f t="shared" si="22"/>
        <v>23.09384289830393</v>
      </c>
      <c r="DV9" s="14"/>
      <c r="DW9" s="14">
        <f t="shared" si="23"/>
        <v>41.89876229199826</v>
      </c>
      <c r="DX9" s="14">
        <f t="shared" si="24"/>
        <v>0.49398566592917864</v>
      </c>
      <c r="DY9" s="14">
        <f t="shared" si="25"/>
        <v>30.35854765877135</v>
      </c>
      <c r="DZ9" s="14">
        <f t="shared" si="26"/>
        <v>8.545257571461416</v>
      </c>
      <c r="EA9" s="14">
        <f t="shared" si="27"/>
        <v>11.691623054312453</v>
      </c>
      <c r="EB9" s="14">
        <f t="shared" si="28"/>
        <v>0.1591311700266961</v>
      </c>
      <c r="EC9" s="14">
        <f t="shared" si="29"/>
        <v>2.2758555350615004</v>
      </c>
      <c r="ED9" s="14">
        <f t="shared" si="30"/>
        <v>4.577531632161754</v>
      </c>
      <c r="EE9" s="14"/>
      <c r="EG9" s="14">
        <f t="shared" si="36"/>
        <v>66.71317454993388</v>
      </c>
      <c r="EH9" s="14">
        <f t="shared" si="37"/>
        <v>30.517678828798047</v>
      </c>
      <c r="EI9" s="14">
        <f t="shared" si="38"/>
        <v>97.23085337873192</v>
      </c>
      <c r="EK9" s="14">
        <f t="shared" si="39"/>
        <v>23.34759235624797</v>
      </c>
      <c r="EL9" s="14"/>
      <c r="EM9" s="14">
        <f t="shared" si="40"/>
        <v>26.61424656671408</v>
      </c>
      <c r="EN9" s="14">
        <f t="shared" si="41"/>
        <v>50.038161077037955</v>
      </c>
      <c r="EO9" s="14">
        <f t="shared" si="31"/>
        <v>100</v>
      </c>
      <c r="ES9" s="14"/>
    </row>
    <row r="10" spans="1:149" ht="12.75">
      <c r="A10" s="72" t="s">
        <v>219</v>
      </c>
      <c r="B10" s="73">
        <v>413</v>
      </c>
      <c r="C10" s="7">
        <v>350</v>
      </c>
      <c r="D10" s="7">
        <v>450</v>
      </c>
      <c r="E10" s="13" t="s">
        <v>162</v>
      </c>
      <c r="F10" s="60">
        <v>1</v>
      </c>
      <c r="G10" s="4">
        <v>36475.697916666664</v>
      </c>
      <c r="H10" s="4">
        <v>36476.6875</v>
      </c>
      <c r="I10" s="1">
        <v>35.92891637221165</v>
      </c>
      <c r="J10" s="1">
        <v>-13.035806831563004</v>
      </c>
      <c r="K10" s="1">
        <v>30.468705882351916</v>
      </c>
      <c r="L10" s="1">
        <v>-15.034000000000368</v>
      </c>
      <c r="M10" s="1">
        <v>3.329387755102042</v>
      </c>
      <c r="N10" s="1">
        <v>1.6085714285714285</v>
      </c>
      <c r="O10" s="1">
        <v>0.27147393149139815</v>
      </c>
      <c r="P10" s="1">
        <v>0.10499107313320467</v>
      </c>
      <c r="Q10" s="139">
        <v>2749.537500006739</v>
      </c>
      <c r="R10" s="5">
        <v>167.95319230919176</v>
      </c>
      <c r="S10" s="1">
        <v>27.409033250836245</v>
      </c>
      <c r="T10" s="1">
        <v>27.409033250836245</v>
      </c>
      <c r="U10" s="1">
        <v>15.630626712141504</v>
      </c>
      <c r="V10" s="1">
        <v>10.754224820454978</v>
      </c>
      <c r="W10" s="1">
        <v>0.7971914845366241</v>
      </c>
      <c r="X10" s="1">
        <v>4.590467540461411</v>
      </c>
      <c r="Y10" s="1">
        <v>4.590467540461411</v>
      </c>
      <c r="Z10" s="1">
        <v>0</v>
      </c>
      <c r="AA10" s="1">
        <v>0</v>
      </c>
      <c r="AB10" s="1">
        <v>2229.876712298301</v>
      </c>
      <c r="AC10" s="1">
        <v>12.919081800808685</v>
      </c>
      <c r="AD10" s="1">
        <v>0</v>
      </c>
      <c r="AE10" s="1">
        <v>0</v>
      </c>
      <c r="AF10" s="1">
        <v>462.9744962156185</v>
      </c>
      <c r="AG10" s="1">
        <v>17.321031106201303</v>
      </c>
      <c r="AH10" s="1">
        <v>462.9744962156185</v>
      </c>
      <c r="AI10" s="1">
        <v>17.321031106201303</v>
      </c>
      <c r="AJ10" s="1">
        <v>0</v>
      </c>
      <c r="AK10" s="1">
        <v>0</v>
      </c>
      <c r="AL10" s="1">
        <v>6.5494670748284</v>
      </c>
      <c r="AM10" s="1">
        <v>6.5494670748284</v>
      </c>
      <c r="AN10" s="1">
        <v>0</v>
      </c>
      <c r="AO10" s="1">
        <v>0</v>
      </c>
      <c r="AP10" s="1">
        <v>1337.3702921125068</v>
      </c>
      <c r="AQ10" s="1">
        <v>1.5187670346081639</v>
      </c>
      <c r="AR10" s="14">
        <f t="shared" si="42"/>
        <v>936.8087089292239</v>
      </c>
      <c r="AS10" s="1">
        <v>39.43144818535948</v>
      </c>
      <c r="AT10" s="1">
        <v>2.307950508684238</v>
      </c>
      <c r="AU10" s="5">
        <v>1589.8726631376705</v>
      </c>
      <c r="AV10" s="5">
        <v>19.51685382197796</v>
      </c>
      <c r="AW10" s="5">
        <v>115.5345490238684</v>
      </c>
      <c r="AX10" s="5">
        <v>45.44929886316176</v>
      </c>
      <c r="AY10" s="5">
        <v>47.28628894327641</v>
      </c>
      <c r="AZ10" s="5">
        <v>14.28191728040316</v>
      </c>
      <c r="BA10" s="14"/>
      <c r="BB10" s="26"/>
      <c r="BC10" s="26"/>
      <c r="BD10" s="5">
        <v>172.78047467793758</v>
      </c>
      <c r="BE10" s="5">
        <v>10.558521033035689</v>
      </c>
      <c r="BF10" s="14"/>
      <c r="BG10" s="5">
        <v>38.94995593556906</v>
      </c>
      <c r="BH10" s="5">
        <v>17.219743459364</v>
      </c>
      <c r="BK10" s="5">
        <v>167.95319230919176</v>
      </c>
      <c r="BL10" s="5"/>
      <c r="BM10" s="5"/>
      <c r="BN10" s="21">
        <f t="shared" si="0"/>
        <v>0.7799790196309515</v>
      </c>
      <c r="BO10" s="21">
        <f t="shared" si="1"/>
        <v>0.9056305717850653</v>
      </c>
      <c r="BQ10" s="29">
        <v>71.77594742112811</v>
      </c>
      <c r="BR10" s="29">
        <v>71.77594742112811</v>
      </c>
      <c r="BS10" s="30">
        <v>36.53677660324829</v>
      </c>
      <c r="BT10" s="65">
        <v>1219.7408406309148</v>
      </c>
      <c r="BU10" s="65">
        <v>1219.7408406309148</v>
      </c>
      <c r="BV10" s="30">
        <v>138.17782306964676</v>
      </c>
      <c r="BW10" s="65">
        <v>173.68022524095747</v>
      </c>
      <c r="BX10" s="30">
        <v>52.53959724652825</v>
      </c>
      <c r="BY10" s="65">
        <v>214.39199656590043</v>
      </c>
      <c r="BZ10" s="30">
        <v>33.54259024831152</v>
      </c>
      <c r="CA10" s="65">
        <v>269.0264043145337</v>
      </c>
      <c r="CB10" s="30">
        <v>30.130128298570877</v>
      </c>
      <c r="CC10" s="66">
        <v>657.0986261213916</v>
      </c>
      <c r="CD10" s="66">
        <v>657.0986261213916</v>
      </c>
      <c r="CE10" s="66">
        <v>116.21231579341064</v>
      </c>
      <c r="CF10" s="29">
        <v>869.6814219971036</v>
      </c>
      <c r="CG10" s="30">
        <v>156.5408912384843</v>
      </c>
      <c r="CH10" s="31">
        <v>122.73585379780954</v>
      </c>
      <c r="CI10" s="31">
        <v>73.27673695721059</v>
      </c>
      <c r="CJ10" s="31">
        <v>37.149522883796664</v>
      </c>
      <c r="CK10" s="31">
        <v>288.85094773431734</v>
      </c>
      <c r="CM10" s="5">
        <f t="shared" si="2"/>
        <v>936.8813682681275</v>
      </c>
      <c r="CN10" s="26"/>
      <c r="CO10" s="26"/>
      <c r="CP10" s="1">
        <f t="shared" si="3"/>
        <v>4535.192073847923</v>
      </c>
      <c r="CQ10" s="1">
        <f t="shared" si="32"/>
        <v>4.535192073847923</v>
      </c>
      <c r="CR10" s="1"/>
      <c r="CS10" s="5">
        <f t="shared" si="4"/>
        <v>115.5345490238684</v>
      </c>
      <c r="CT10" s="1">
        <f t="shared" si="5"/>
        <v>462.9744962156185</v>
      </c>
      <c r="CU10" s="1">
        <f t="shared" si="6"/>
        <v>2.7565686001568235</v>
      </c>
      <c r="CV10" s="1">
        <f t="shared" si="7"/>
        <v>4.590467540461411</v>
      </c>
      <c r="CW10" s="1">
        <f t="shared" si="8"/>
        <v>84.1441733314791</v>
      </c>
      <c r="CX10" s="5">
        <f t="shared" si="9"/>
        <v>71.77594742112811</v>
      </c>
      <c r="CY10" s="5">
        <f t="shared" si="10"/>
        <v>657.0986261213916</v>
      </c>
      <c r="CZ10" s="21"/>
      <c r="DA10" s="21"/>
      <c r="DB10" s="5">
        <f t="shared" si="33"/>
        <v>6868.191701769998</v>
      </c>
      <c r="DC10" s="5">
        <f t="shared" si="34"/>
        <v>6211.093075648606</v>
      </c>
      <c r="DD10" s="5"/>
      <c r="DE10" s="21">
        <f t="shared" si="11"/>
        <v>0.07661750658057855</v>
      </c>
      <c r="DF10" s="21">
        <f t="shared" si="12"/>
        <v>0.13101485140770852</v>
      </c>
      <c r="DG10" s="21">
        <f t="shared" si="13"/>
        <v>0.32887411036396774</v>
      </c>
      <c r="DH10" s="21">
        <f t="shared" si="44"/>
        <v>0.0049001119403643606</v>
      </c>
      <c r="DI10" s="21">
        <f t="shared" si="45"/>
        <v>204.07697052031884</v>
      </c>
      <c r="DJ10" s="21">
        <f t="shared" si="46"/>
        <v>2.2686268569903265</v>
      </c>
      <c r="DL10" s="14">
        <f t="shared" si="14"/>
        <v>13.64087388572285</v>
      </c>
      <c r="DM10" s="14">
        <f t="shared" si="15"/>
        <v>0</v>
      </c>
      <c r="DN10" s="14">
        <f t="shared" si="35"/>
        <v>0</v>
      </c>
      <c r="DO10" s="14">
        <f t="shared" si="16"/>
        <v>66.03182134067634</v>
      </c>
      <c r="DP10" s="14">
        <f t="shared" si="17"/>
        <v>1.6821683791105313</v>
      </c>
      <c r="DQ10" s="14">
        <f t="shared" si="18"/>
        <v>6.740849940113139</v>
      </c>
      <c r="DR10" s="14">
        <f t="shared" si="19"/>
        <v>0.06683662512329708</v>
      </c>
      <c r="DS10" s="14">
        <f t="shared" si="20"/>
        <v>1.2251284906592568</v>
      </c>
      <c r="DT10" s="14">
        <f t="shared" si="21"/>
        <v>1.0450486902197382</v>
      </c>
      <c r="DU10" s="14">
        <f t="shared" si="22"/>
        <v>9.567272648374841</v>
      </c>
      <c r="DV10" s="14"/>
      <c r="DW10" s="14">
        <f t="shared" si="23"/>
        <v>15.084001428690422</v>
      </c>
      <c r="DX10" s="14">
        <f t="shared" si="24"/>
        <v>0</v>
      </c>
      <c r="DY10" s="14">
        <f t="shared" si="25"/>
        <v>73.01761571773461</v>
      </c>
      <c r="DZ10" s="14">
        <f t="shared" si="26"/>
        <v>1.8601323087048323</v>
      </c>
      <c r="EA10" s="14">
        <f t="shared" si="27"/>
        <v>7.453993855457905</v>
      </c>
      <c r="EB10" s="14">
        <f t="shared" si="28"/>
        <v>0.0739075632026661</v>
      </c>
      <c r="EC10" s="14">
        <f t="shared" si="29"/>
        <v>1.3547401770773202</v>
      </c>
      <c r="ED10" s="14">
        <f t="shared" si="30"/>
        <v>1.155608949132239</v>
      </c>
      <c r="EE10" s="14"/>
      <c r="EG10" s="14">
        <f t="shared" si="36"/>
        <v>25.5537365419854</v>
      </c>
      <c r="EH10" s="14">
        <f t="shared" si="37"/>
        <v>73.09152328093728</v>
      </c>
      <c r="EI10" s="14">
        <f t="shared" si="38"/>
        <v>98.64525982292268</v>
      </c>
      <c r="EK10" s="14">
        <f t="shared" si="39"/>
        <v>66.03182134067634</v>
      </c>
      <c r="EL10" s="14"/>
      <c r="EM10" s="14">
        <f t="shared" si="40"/>
        <v>10.61232133859458</v>
      </c>
      <c r="EN10" s="14">
        <f t="shared" si="41"/>
        <v>23.355857320729076</v>
      </c>
      <c r="EO10" s="14">
        <f t="shared" si="31"/>
        <v>100</v>
      </c>
      <c r="EP10" s="21"/>
      <c r="EQ10" s="21"/>
      <c r="ER10" s="21"/>
      <c r="ES10" s="14"/>
    </row>
    <row r="11" spans="1:149" s="67" customFormat="1" ht="12.75">
      <c r="A11" s="82" t="s">
        <v>220</v>
      </c>
      <c r="B11" s="83">
        <v>264.1666666666667</v>
      </c>
      <c r="C11" s="84">
        <v>175</v>
      </c>
      <c r="D11" s="84">
        <v>350</v>
      </c>
      <c r="E11" s="85" t="s">
        <v>163</v>
      </c>
      <c r="F11" s="61">
        <v>1</v>
      </c>
      <c r="G11" s="3">
        <v>36476.69097222222</v>
      </c>
      <c r="H11" s="3">
        <v>36477.71527777778</v>
      </c>
      <c r="I11" s="86">
        <v>30.468705882351916</v>
      </c>
      <c r="J11" s="86">
        <v>-15.034000000000368</v>
      </c>
      <c r="K11" s="68">
        <v>24.637369791639955</v>
      </c>
      <c r="L11" s="68">
        <v>-17.267447916676037</v>
      </c>
      <c r="M11" s="68">
        <v>2.8386</v>
      </c>
      <c r="N11" s="68">
        <v>2.8368</v>
      </c>
      <c r="O11" s="68">
        <v>0.32291511945684503</v>
      </c>
      <c r="P11" s="68">
        <v>0.32291511945684503</v>
      </c>
      <c r="Q11" s="140">
        <v>2900.0958333516446</v>
      </c>
      <c r="R11" s="87">
        <v>211.46258674238365</v>
      </c>
      <c r="S11" s="68">
        <v>10.04379705759322</v>
      </c>
      <c r="T11" s="68">
        <v>10.04379705759322</v>
      </c>
      <c r="U11" s="68">
        <v>9.42186432499788</v>
      </c>
      <c r="V11" s="68">
        <v>6.241543605736842</v>
      </c>
      <c r="W11" s="68">
        <v>2.231425577630222</v>
      </c>
      <c r="X11" s="68">
        <v>10.116027373611855</v>
      </c>
      <c r="Y11" s="68">
        <v>2.5036582782801937</v>
      </c>
      <c r="Z11" s="68">
        <v>0</v>
      </c>
      <c r="AA11" s="68">
        <v>0</v>
      </c>
      <c r="AB11" s="68">
        <v>222.70847767176545</v>
      </c>
      <c r="AC11" s="68">
        <v>9.203814005878293</v>
      </c>
      <c r="AD11" s="68">
        <v>0</v>
      </c>
      <c r="AE11" s="68">
        <v>0</v>
      </c>
      <c r="AF11" s="68">
        <v>302.65330691329495</v>
      </c>
      <c r="AG11" s="68">
        <v>10.487661454786222</v>
      </c>
      <c r="AH11" s="68">
        <v>302.65330691329495</v>
      </c>
      <c r="AI11" s="68">
        <v>10.487661454786222</v>
      </c>
      <c r="AJ11" s="68">
        <v>0</v>
      </c>
      <c r="AK11" s="68">
        <v>0</v>
      </c>
      <c r="AL11" s="68">
        <v>5.2054679844167</v>
      </c>
      <c r="AM11" s="68">
        <v>5.2054679844167</v>
      </c>
      <c r="AN11" s="68">
        <v>0</v>
      </c>
      <c r="AO11" s="68">
        <v>0</v>
      </c>
      <c r="AP11" s="68">
        <v>1531.1180625521924</v>
      </c>
      <c r="AQ11" s="68">
        <v>20.92671358219548</v>
      </c>
      <c r="AR11" s="70">
        <f t="shared" si="42"/>
        <v>1426.6393339373772</v>
      </c>
      <c r="AS11" s="68">
        <v>53.678150521334736</v>
      </c>
      <c r="AT11" s="68">
        <v>4.380075118428814</v>
      </c>
      <c r="AU11" s="87">
        <v>414.6874824690047</v>
      </c>
      <c r="AV11" s="87">
        <v>8.46073198712352</v>
      </c>
      <c r="AW11" s="87">
        <v>300.2914338122682</v>
      </c>
      <c r="AX11" s="87">
        <v>26.299897049992772</v>
      </c>
      <c r="AY11" s="87">
        <v>25.420944597452387</v>
      </c>
      <c r="AZ11" s="87">
        <v>6.916024940708566</v>
      </c>
      <c r="BA11" s="70">
        <f aca="true" t="shared" si="47" ref="BA11:BA19">AY11-BA$5*$AU11</f>
        <v>9.809180551560447</v>
      </c>
      <c r="BB11" s="88">
        <f>BA11-BB$5*BI11</f>
        <v>9.809180551560447</v>
      </c>
      <c r="BC11" s="88">
        <f aca="true" t="shared" si="48" ref="BC11:BC19">BA11/AS11</f>
        <v>0.18274065809442752</v>
      </c>
      <c r="BD11" s="87">
        <v>40.675280374878994</v>
      </c>
      <c r="BE11" s="87">
        <v>2.0974984353656305</v>
      </c>
      <c r="BF11" s="70"/>
      <c r="BG11" s="87">
        <v>6.7718751976214895</v>
      </c>
      <c r="BH11" s="87">
        <v>4.551350508162157</v>
      </c>
      <c r="BI11" s="70"/>
      <c r="BJ11" s="70"/>
      <c r="BK11" s="87">
        <v>211.46258674238365</v>
      </c>
      <c r="BL11" s="87"/>
      <c r="BM11" s="87"/>
      <c r="BN11" s="89">
        <f t="shared" si="0"/>
        <v>0.2986621822323481</v>
      </c>
      <c r="BO11" s="89">
        <f t="shared" si="1"/>
        <v>0.8173882360097365</v>
      </c>
      <c r="BQ11" s="69">
        <v>76.08775979581493</v>
      </c>
      <c r="BR11" s="69">
        <v>76.08775979581493</v>
      </c>
      <c r="BS11" s="90">
        <v>35.041872075845205</v>
      </c>
      <c r="BT11" s="91">
        <v>1183.2373379739845</v>
      </c>
      <c r="BU11" s="91">
        <v>1183.2373379739845</v>
      </c>
      <c r="BV11" s="90">
        <v>207.4089059748186</v>
      </c>
      <c r="BW11" s="91">
        <v>148.54553479626148</v>
      </c>
      <c r="BX11" s="90">
        <v>103.2674059939464</v>
      </c>
      <c r="BY11" s="91">
        <v>196.47834779609116</v>
      </c>
      <c r="BZ11" s="90">
        <v>45.11689808545043</v>
      </c>
      <c r="CA11" s="91">
        <v>284.5957702993977</v>
      </c>
      <c r="CB11" s="90">
        <v>44.268565892450845</v>
      </c>
      <c r="CC11" s="92">
        <v>629.6196528917503</v>
      </c>
      <c r="CD11" s="92">
        <v>629.6196528917503</v>
      </c>
      <c r="CE11" s="92">
        <v>192.65286997184768</v>
      </c>
      <c r="CF11" s="69">
        <v>840.6259097357976</v>
      </c>
      <c r="CG11" s="90">
        <v>247.16891454456461</v>
      </c>
      <c r="CH11" s="71">
        <v>144.31528784086058</v>
      </c>
      <c r="CI11" s="71">
        <v>36.2659049917391</v>
      </c>
      <c r="CJ11" s="71">
        <v>65.17745884900485</v>
      </c>
      <c r="CK11" s="71">
        <v>234.21870023740823</v>
      </c>
      <c r="CM11" s="87">
        <f t="shared" si="2"/>
        <v>1426.6582857182502</v>
      </c>
      <c r="CN11" s="88">
        <f aca="true" t="shared" si="49" ref="CN11:CN19">AY11-0.0376*AU11</f>
        <v>9.82869525661781</v>
      </c>
      <c r="CO11" s="88">
        <f t="shared" si="43"/>
        <v>9.809180551560447</v>
      </c>
      <c r="CP11" s="68">
        <f t="shared" si="3"/>
        <v>824.0053272518222</v>
      </c>
      <c r="CQ11" s="68">
        <f t="shared" si="32"/>
        <v>0.8240053272518222</v>
      </c>
      <c r="CR11" s="68"/>
      <c r="CS11" s="87">
        <f t="shared" si="4"/>
        <v>300.2914338122682</v>
      </c>
      <c r="CT11" s="68">
        <f t="shared" si="5"/>
        <v>302.65330691329495</v>
      </c>
      <c r="CU11" s="68">
        <f t="shared" si="6"/>
        <v>1.431238081287662</v>
      </c>
      <c r="CV11" s="68">
        <f t="shared" si="7"/>
        <v>10.116027373611855</v>
      </c>
      <c r="CW11" s="68">
        <f t="shared" si="8"/>
        <v>75.16895916908149</v>
      </c>
      <c r="CX11" s="87">
        <f t="shared" si="9"/>
        <v>76.08775979581493</v>
      </c>
      <c r="CY11" s="87">
        <f t="shared" si="10"/>
        <v>629.6196528917503</v>
      </c>
      <c r="CZ11" s="21">
        <f aca="true" t="shared" si="50" ref="CZ11:CZ23">CN11/BR11</f>
        <v>0.1291757739088859</v>
      </c>
      <c r="DA11" s="89">
        <f>BB11/CX11</f>
        <v>0.12891929763583318</v>
      </c>
      <c r="DB11" s="87">
        <f t="shared" si="33"/>
        <v>3654.409933477455</v>
      </c>
      <c r="DC11" s="87">
        <f t="shared" si="34"/>
        <v>3024.7902805857047</v>
      </c>
      <c r="DD11" s="87"/>
      <c r="DE11" s="89">
        <f t="shared" si="11"/>
        <v>0.0533335637016404</v>
      </c>
      <c r="DF11" s="89">
        <f t="shared" si="12"/>
        <v>0.10115751361107175</v>
      </c>
      <c r="DG11" s="89">
        <f t="shared" si="13"/>
        <v>0.5613031533503657</v>
      </c>
      <c r="DH11" s="89">
        <f t="shared" si="44"/>
        <v>0.007090809241669136</v>
      </c>
      <c r="DI11" s="89">
        <f t="shared" si="45"/>
        <v>141.02762687839643</v>
      </c>
      <c r="DJ11" s="21">
        <f t="shared" si="46"/>
        <v>2.1460568656825174</v>
      </c>
      <c r="DL11" s="70">
        <f t="shared" si="14"/>
        <v>39.03936098270929</v>
      </c>
      <c r="DM11" s="70">
        <f t="shared" si="15"/>
        <v>0.2684203669024687</v>
      </c>
      <c r="DN11" s="70">
        <f t="shared" si="35"/>
        <v>0</v>
      </c>
      <c r="DO11" s="70">
        <f t="shared" si="16"/>
        <v>22.5482456060346</v>
      </c>
      <c r="DP11" s="70">
        <f t="shared" si="17"/>
        <v>8.21723449964787</v>
      </c>
      <c r="DQ11" s="70">
        <f t="shared" si="18"/>
        <v>8.281865264778787</v>
      </c>
      <c r="DR11" s="70">
        <f t="shared" si="19"/>
        <v>0.27681698434925356</v>
      </c>
      <c r="DS11" s="70">
        <f t="shared" si="20"/>
        <v>2.056938344012008</v>
      </c>
      <c r="DT11" s="70">
        <f t="shared" si="21"/>
        <v>2.0820805870405326</v>
      </c>
      <c r="DU11" s="70">
        <f t="shared" si="22"/>
        <v>17.229037364525173</v>
      </c>
      <c r="DV11" s="70"/>
      <c r="DW11" s="70">
        <f t="shared" si="23"/>
        <v>47.16552730531782</v>
      </c>
      <c r="DX11" s="70">
        <f t="shared" si="24"/>
        <v>0.32493807321791024</v>
      </c>
      <c r="DY11" s="70">
        <f t="shared" si="25"/>
        <v>27.241734163872877</v>
      </c>
      <c r="DZ11" s="70">
        <f t="shared" si="26"/>
        <v>9.927677820828006</v>
      </c>
      <c r="EA11" s="70">
        <f t="shared" si="27"/>
        <v>10.005761683903941</v>
      </c>
      <c r="EB11" s="70">
        <f t="shared" si="28"/>
        <v>0.3344373141682087</v>
      </c>
      <c r="EC11" s="70">
        <f t="shared" si="29"/>
        <v>2.4850965586455853</v>
      </c>
      <c r="ED11" s="70">
        <f t="shared" si="30"/>
        <v>2.5154722389904562</v>
      </c>
      <c r="EE11" s="70"/>
      <c r="EG11" s="70">
        <f t="shared" si="36"/>
        <v>69.61443904904023</v>
      </c>
      <c r="EH11" s="70">
        <f t="shared" si="37"/>
        <v>27.576171478041086</v>
      </c>
      <c r="EI11" s="70">
        <f t="shared" si="38"/>
        <v>97.19061052708132</v>
      </c>
      <c r="EK11" s="70">
        <f t="shared" si="39"/>
        <v>22.5482456060346</v>
      </c>
      <c r="EL11" s="70"/>
      <c r="EM11" s="70">
        <f t="shared" si="40"/>
        <v>19.311117951565706</v>
      </c>
      <c r="EN11" s="70">
        <f t="shared" si="41"/>
        <v>58.140636442399675</v>
      </c>
      <c r="EO11" s="70">
        <f t="shared" si="31"/>
        <v>99.99999999999997</v>
      </c>
      <c r="EP11" s="89"/>
      <c r="EQ11" s="89"/>
      <c r="ER11" s="89"/>
      <c r="ES11" s="14"/>
    </row>
    <row r="12" spans="1:149" ht="12.75">
      <c r="A12" s="72" t="s">
        <v>221</v>
      </c>
      <c r="B12" s="73">
        <v>131</v>
      </c>
      <c r="C12" s="7">
        <v>75</v>
      </c>
      <c r="D12" s="7">
        <v>175</v>
      </c>
      <c r="E12" s="13" t="s">
        <v>164</v>
      </c>
      <c r="F12" s="60">
        <v>2</v>
      </c>
      <c r="G12" s="4">
        <v>36477.72222222222</v>
      </c>
      <c r="H12" s="4">
        <v>36478.66527777778</v>
      </c>
      <c r="I12" s="1">
        <v>24.433333333333334</v>
      </c>
      <c r="J12" s="1">
        <v>-17.333333333333332</v>
      </c>
      <c r="K12" s="1">
        <v>19.316666666666666</v>
      </c>
      <c r="L12" s="1">
        <v>-17.983333333333334</v>
      </c>
      <c r="M12" s="1">
        <v>2.4904651162790703</v>
      </c>
      <c r="N12" s="1">
        <v>2.4904651162790703</v>
      </c>
      <c r="O12" s="1">
        <v>0.2761613781276335</v>
      </c>
      <c r="P12" s="1">
        <v>0.2751676215992572</v>
      </c>
      <c r="Q12" s="139">
        <v>2819.434333343968</v>
      </c>
      <c r="R12" s="5">
        <v>174.31906408007728</v>
      </c>
      <c r="S12" s="1">
        <v>7.18624394001516</v>
      </c>
      <c r="T12" s="1">
        <v>7.18624394001516</v>
      </c>
      <c r="U12" s="1">
        <v>0.770181312262566</v>
      </c>
      <c r="V12" s="1">
        <v>6.059087237068413</v>
      </c>
      <c r="W12" s="1">
        <v>2.239105793569334</v>
      </c>
      <c r="X12" s="1">
        <v>9.53096392561639</v>
      </c>
      <c r="Y12" s="1">
        <v>3.1930333690196333</v>
      </c>
      <c r="Z12" s="1">
        <v>0</v>
      </c>
      <c r="AA12" s="1">
        <v>0</v>
      </c>
      <c r="AB12" s="1">
        <v>295.8703850242002</v>
      </c>
      <c r="AC12" s="1">
        <v>20.869932722691395</v>
      </c>
      <c r="AD12" s="1">
        <v>0</v>
      </c>
      <c r="AE12" s="1">
        <v>0</v>
      </c>
      <c r="AF12" s="1">
        <v>295.4045871282191</v>
      </c>
      <c r="AG12" s="1">
        <v>8.040350212466791</v>
      </c>
      <c r="AH12" s="1">
        <v>295.4045871282191</v>
      </c>
      <c r="AI12" s="1">
        <v>8.040350212466791</v>
      </c>
      <c r="AJ12" s="1">
        <v>0</v>
      </c>
      <c r="AK12" s="1">
        <v>0</v>
      </c>
      <c r="AL12" s="1">
        <v>6.231507238409954</v>
      </c>
      <c r="AM12" s="1">
        <v>6.231507238409954</v>
      </c>
      <c r="AN12" s="1">
        <v>0</v>
      </c>
      <c r="AO12" s="1">
        <v>0</v>
      </c>
      <c r="AP12" s="1">
        <v>1281.1137134588253</v>
      </c>
      <c r="AQ12" s="1">
        <v>45.68242594646167</v>
      </c>
      <c r="AR12" s="14">
        <f t="shared" si="42"/>
        <v>1159.1792128552797</v>
      </c>
      <c r="AS12" s="1">
        <v>54.64915672130885</v>
      </c>
      <c r="AT12" s="1">
        <v>9.114843213675961</v>
      </c>
      <c r="AU12" s="5">
        <v>483.97134758232016</v>
      </c>
      <c r="AV12" s="5">
        <v>35.71122008343425</v>
      </c>
      <c r="AW12" s="5">
        <v>173.41163521965947</v>
      </c>
      <c r="AX12" s="5">
        <v>11.600302931692742</v>
      </c>
      <c r="AY12" s="5">
        <v>23.41294660639098</v>
      </c>
      <c r="AZ12" s="5">
        <v>7.747208180725219</v>
      </c>
      <c r="BA12" s="14">
        <f t="shared" si="47"/>
        <v>5.192848815056578</v>
      </c>
      <c r="BB12" s="26">
        <f>BA12-BB$5*BI12</f>
        <v>0.9468224265138216</v>
      </c>
      <c r="BC12" s="26">
        <f t="shared" si="48"/>
        <v>0.0950215726390482</v>
      </c>
      <c r="BD12" s="5">
        <v>53.38694066728181</v>
      </c>
      <c r="BE12" s="5">
        <v>2.7238015008671237</v>
      </c>
      <c r="BF12" s="14"/>
      <c r="BG12" s="5">
        <v>24.4338821769967</v>
      </c>
      <c r="BH12" s="5">
        <v>1.349282860837996</v>
      </c>
      <c r="BI12" s="14">
        <f aca="true" t="shared" si="51" ref="BI12:BI17">BG12-BI$5*$AU12</f>
        <v>5.950994513671894</v>
      </c>
      <c r="BJ12" s="14">
        <f aca="true" t="shared" si="52" ref="BJ12:BJ17">BJ$5*BI12</f>
        <v>163.40917083380393</v>
      </c>
      <c r="BK12" s="5">
        <v>174.31906408007728</v>
      </c>
      <c r="BL12" s="5"/>
      <c r="BM12" s="5"/>
      <c r="BN12" s="21">
        <f t="shared" si="0"/>
        <v>0.33997443194444443</v>
      </c>
      <c r="BO12" s="21">
        <f t="shared" si="1"/>
        <v>0.9192510557697335</v>
      </c>
      <c r="BQ12" s="29">
        <v>46.48794206795713</v>
      </c>
      <c r="BR12" s="29">
        <v>46.48794206795713</v>
      </c>
      <c r="BS12" s="30">
        <v>34.45555612738167</v>
      </c>
      <c r="BT12" s="65">
        <v>1112.610641016033</v>
      </c>
      <c r="BU12" s="65">
        <v>1112.610641016033</v>
      </c>
      <c r="BV12" s="30">
        <v>115.07585855601033</v>
      </c>
      <c r="BW12" s="65">
        <v>123.14956576478282</v>
      </c>
      <c r="BX12" s="30">
        <v>74.59872559482636</v>
      </c>
      <c r="BY12" s="65">
        <v>173.01246053874613</v>
      </c>
      <c r="BZ12" s="30">
        <v>21.18694844425103</v>
      </c>
      <c r="CA12" s="65">
        <v>193.04603252569652</v>
      </c>
      <c r="CB12" s="30">
        <v>38.32909774148406</v>
      </c>
      <c r="CC12" s="66">
        <v>489.2080588292254</v>
      </c>
      <c r="CD12" s="66">
        <v>489.2080588292254</v>
      </c>
      <c r="CE12" s="66">
        <v>134.11477178056145</v>
      </c>
      <c r="CF12" s="29">
        <v>640.5262992177309</v>
      </c>
      <c r="CG12" s="30">
        <v>194.91967859962082</v>
      </c>
      <c r="CH12" s="31">
        <v>124.13167924185923</v>
      </c>
      <c r="CI12" s="31">
        <v>18.802056146013804</v>
      </c>
      <c r="CJ12" s="31">
        <v>88.05114147466406</v>
      </c>
      <c r="CK12" s="31">
        <v>150.9405629461766</v>
      </c>
      <c r="CM12" s="5">
        <f t="shared" si="2"/>
        <v>1159.2013310028387</v>
      </c>
      <c r="CN12" s="26">
        <f t="shared" si="49"/>
        <v>5.215623937295742</v>
      </c>
      <c r="CO12" s="26">
        <f t="shared" si="43"/>
        <v>0.9468224265138216</v>
      </c>
      <c r="CP12" s="1">
        <f t="shared" si="3"/>
        <v>997.6288390185643</v>
      </c>
      <c r="CQ12" s="1">
        <f t="shared" si="32"/>
        <v>0.9976288390185644</v>
      </c>
      <c r="CR12" s="1">
        <f aca="true" t="shared" si="53" ref="CR12:CR17">BJ12</f>
        <v>163.40917083380393</v>
      </c>
      <c r="CS12" s="5">
        <f t="shared" si="4"/>
        <v>173.41163521965947</v>
      </c>
      <c r="CT12" s="1">
        <f t="shared" si="5"/>
        <v>295.4045871282191</v>
      </c>
      <c r="CU12" s="1">
        <f t="shared" si="6"/>
        <v>1.6946200846541861</v>
      </c>
      <c r="CV12" s="1">
        <f t="shared" si="7"/>
        <v>9.53096392561639</v>
      </c>
      <c r="CW12" s="1">
        <f t="shared" si="8"/>
        <v>74.12599513680237</v>
      </c>
      <c r="CX12" s="5">
        <f t="shared" si="9"/>
        <v>46.48794206795713</v>
      </c>
      <c r="CY12" s="5">
        <f t="shared" si="10"/>
        <v>489.2080588292254</v>
      </c>
      <c r="CZ12" s="21">
        <f t="shared" si="50"/>
        <v>0.1121930484612854</v>
      </c>
      <c r="DA12" s="21">
        <f>BB12/CX12</f>
        <v>0.020367054001438376</v>
      </c>
      <c r="DB12" s="5">
        <f t="shared" si="33"/>
        <v>3409.355345589201</v>
      </c>
      <c r="DC12" s="5">
        <f t="shared" si="34"/>
        <v>2920.1472867599755</v>
      </c>
      <c r="DD12" s="5"/>
      <c r="DE12" s="21">
        <f t="shared" si="11"/>
        <v>0.040104188853980954</v>
      </c>
      <c r="DF12" s="21">
        <f t="shared" si="12"/>
        <v>0.10708583958825418</v>
      </c>
      <c r="DG12" s="21">
        <f t="shared" si="13"/>
        <v>0.3989297100259151</v>
      </c>
      <c r="DH12" s="21">
        <f t="shared" si="44"/>
        <v>0.008222166011879911</v>
      </c>
      <c r="DI12" s="21">
        <f t="shared" si="45"/>
        <v>121.62245308050653</v>
      </c>
      <c r="DJ12" s="21">
        <f t="shared" si="46"/>
        <v>2.428865556039061</v>
      </c>
      <c r="DL12" s="14">
        <f t="shared" si="14"/>
        <v>34.00060168273562</v>
      </c>
      <c r="DM12" s="14">
        <f t="shared" si="15"/>
        <v>0.027771303678824737</v>
      </c>
      <c r="DN12" s="14">
        <f t="shared" si="35"/>
        <v>4.792963896978704</v>
      </c>
      <c r="DO12" s="14">
        <f t="shared" si="16"/>
        <v>29.261509519951645</v>
      </c>
      <c r="DP12" s="14">
        <f t="shared" si="17"/>
        <v>5.086346761830151</v>
      </c>
      <c r="DQ12" s="14">
        <f t="shared" si="18"/>
        <v>8.664529131889816</v>
      </c>
      <c r="DR12" s="14">
        <f t="shared" si="19"/>
        <v>0.27955325741996717</v>
      </c>
      <c r="DS12" s="14">
        <f t="shared" si="20"/>
        <v>2.174193876056413</v>
      </c>
      <c r="DT12" s="14">
        <f t="shared" si="21"/>
        <v>1.3635405334941153</v>
      </c>
      <c r="DU12" s="14">
        <f t="shared" si="22"/>
        <v>14.348990035964732</v>
      </c>
      <c r="DV12" s="14"/>
      <c r="DW12" s="14">
        <f t="shared" si="23"/>
        <v>39.69667339242401</v>
      </c>
      <c r="DX12" s="14">
        <f t="shared" si="24"/>
        <v>0.17860824900660038</v>
      </c>
      <c r="DY12" s="14">
        <f t="shared" si="25"/>
        <v>34.163647961931225</v>
      </c>
      <c r="DZ12" s="14">
        <f t="shared" si="26"/>
        <v>5.9384550911494225</v>
      </c>
      <c r="EA12" s="14">
        <f t="shared" si="27"/>
        <v>10.116085187469524</v>
      </c>
      <c r="EB12" s="14">
        <f t="shared" si="28"/>
        <v>0.3263864110152947</v>
      </c>
      <c r="EC12" s="14">
        <f t="shared" si="29"/>
        <v>2.5384334370013315</v>
      </c>
      <c r="ED12" s="14">
        <f t="shared" si="30"/>
        <v>1.5919725103844824</v>
      </c>
      <c r="EE12" s="14"/>
      <c r="EG12" s="14">
        <f t="shared" si="36"/>
        <v>57.343186181427434</v>
      </c>
      <c r="EH12" s="14">
        <f t="shared" si="37"/>
        <v>34.49003437294652</v>
      </c>
      <c r="EI12" s="14">
        <f t="shared" si="38"/>
        <v>91.83322055437395</v>
      </c>
      <c r="EK12" s="14">
        <f t="shared" si="39"/>
        <v>29.261509519951645</v>
      </c>
      <c r="EL12" s="14">
        <f aca="true" t="shared" si="54" ref="EL12:EL17">DN12</f>
        <v>4.792963896978704</v>
      </c>
      <c r="EM12" s="14">
        <f t="shared" si="40"/>
        <v>15.712530569458847</v>
      </c>
      <c r="EN12" s="14">
        <f t="shared" si="41"/>
        <v>50.232996013610794</v>
      </c>
      <c r="EO12" s="14">
        <f t="shared" si="31"/>
        <v>100</v>
      </c>
      <c r="EP12" s="21"/>
      <c r="EQ12" s="21"/>
      <c r="ER12" s="21"/>
      <c r="ES12" s="14"/>
    </row>
    <row r="13" spans="1:149" ht="12.75">
      <c r="A13" s="72" t="s">
        <v>222</v>
      </c>
      <c r="B13" s="73">
        <v>121</v>
      </c>
      <c r="C13" s="7">
        <v>60</v>
      </c>
      <c r="D13" s="7">
        <v>180</v>
      </c>
      <c r="E13" s="13" t="s">
        <v>165</v>
      </c>
      <c r="F13" s="60">
        <v>2</v>
      </c>
      <c r="G13" s="4">
        <v>36478.66805555556</v>
      </c>
      <c r="H13" s="4">
        <v>36479.37847222222</v>
      </c>
      <c r="I13" s="1">
        <v>19.3</v>
      </c>
      <c r="J13" s="1">
        <v>-17.983333333333334</v>
      </c>
      <c r="K13" s="1">
        <v>15.195</v>
      </c>
      <c r="L13" s="1">
        <v>-17.995</v>
      </c>
      <c r="M13" s="1">
        <v>2.487428571428571</v>
      </c>
      <c r="N13" s="1">
        <v>2.3996153846153847</v>
      </c>
      <c r="O13" s="1">
        <v>0.2636215087650616</v>
      </c>
      <c r="P13" s="1">
        <v>0.2672582799219413</v>
      </c>
      <c r="Q13" s="139">
        <v>2048.8984999846116</v>
      </c>
      <c r="R13" s="5">
        <v>301.80718146066835</v>
      </c>
      <c r="S13" s="1">
        <v>16.63665399812143</v>
      </c>
      <c r="T13" s="1">
        <v>16.63665399812143</v>
      </c>
      <c r="U13" s="1">
        <v>6.257046373454576</v>
      </c>
      <c r="V13" s="1">
        <v>8.804776330728183</v>
      </c>
      <c r="W13" s="1">
        <v>2.503746597279842</v>
      </c>
      <c r="X13" s="1">
        <v>10.028167535811468</v>
      </c>
      <c r="Y13" s="1">
        <v>4.632711134747263</v>
      </c>
      <c r="Z13" s="1">
        <v>0</v>
      </c>
      <c r="AA13" s="1">
        <v>0</v>
      </c>
      <c r="AB13" s="1">
        <v>991.2807775266242</v>
      </c>
      <c r="AC13" s="1">
        <v>51.17818321940759</v>
      </c>
      <c r="AD13" s="1">
        <v>0</v>
      </c>
      <c r="AE13" s="1">
        <v>0</v>
      </c>
      <c r="AF13" s="1">
        <v>428.00886246362364</v>
      </c>
      <c r="AG13" s="1">
        <v>37.03866050246759</v>
      </c>
      <c r="AH13" s="1">
        <v>428.00886246362364</v>
      </c>
      <c r="AI13" s="1">
        <v>37.03866050246759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1295.3873922680784</v>
      </c>
      <c r="AQ13" s="1">
        <v>18.535618473807794</v>
      </c>
      <c r="AR13" s="14">
        <f t="shared" si="42"/>
        <v>1119.5426610039794</v>
      </c>
      <c r="AS13" s="1">
        <v>40.311276745427065</v>
      </c>
      <c r="AT13" s="1">
        <v>6.971233016886157</v>
      </c>
      <c r="AU13" s="5">
        <v>697.946939823381</v>
      </c>
      <c r="AV13" s="5">
        <v>24.538526738330134</v>
      </c>
      <c r="AW13" s="5">
        <v>139.26447747243685</v>
      </c>
      <c r="AX13" s="5">
        <v>25.51639464960326</v>
      </c>
      <c r="AY13" s="5">
        <v>51.12063197705878</v>
      </c>
      <c r="AZ13" s="5">
        <v>12.557039839042673</v>
      </c>
      <c r="BA13" s="14">
        <f t="shared" si="47"/>
        <v>24.844982477825617</v>
      </c>
      <c r="BB13" s="26"/>
      <c r="BC13" s="26">
        <f t="shared" si="48"/>
        <v>0.6163283449126687</v>
      </c>
      <c r="BD13" s="5">
        <v>104.46071829267262</v>
      </c>
      <c r="BE13" s="5">
        <v>5.230916097893283</v>
      </c>
      <c r="BF13" s="14">
        <f>BD13-BF$5*$AU13</f>
        <v>20.707085513866915</v>
      </c>
      <c r="BG13" s="5">
        <v>240.2584578604436</v>
      </c>
      <c r="BH13" s="5">
        <v>2.4605334632498037</v>
      </c>
      <c r="BI13" s="14">
        <f t="shared" si="51"/>
        <v>213.60383264727918</v>
      </c>
      <c r="BJ13" s="14">
        <f t="shared" si="52"/>
        <v>5865.376803763422</v>
      </c>
      <c r="BK13" s="5">
        <v>301.80718146066835</v>
      </c>
      <c r="BL13" s="5"/>
      <c r="BM13" s="5"/>
      <c r="BN13" s="21">
        <f t="shared" si="0"/>
        <v>0.7898392072579887</v>
      </c>
      <c r="BO13" s="21">
        <f t="shared" si="1"/>
        <v>1.2472380579425677</v>
      </c>
      <c r="BQ13" s="29">
        <v>75.51090355821223</v>
      </c>
      <c r="BR13" s="29">
        <v>75.51090355821223</v>
      </c>
      <c r="BS13" s="30">
        <v>47.42323025472619</v>
      </c>
      <c r="BT13" s="65">
        <v>1561.0336842105482</v>
      </c>
      <c r="BU13" s="65">
        <v>1561.0336842105482</v>
      </c>
      <c r="BV13" s="30">
        <v>258.77811477727226</v>
      </c>
      <c r="BW13" s="65">
        <v>162.04743226281016</v>
      </c>
      <c r="BX13" s="30">
        <v>113.72752532258119</v>
      </c>
      <c r="BY13" s="65">
        <v>196.5583075405072</v>
      </c>
      <c r="BZ13" s="30">
        <v>61.9883963100885</v>
      </c>
      <c r="CA13" s="65">
        <v>191.1323525483212</v>
      </c>
      <c r="CB13" s="30">
        <v>61.16147391686884</v>
      </c>
      <c r="CC13" s="66">
        <v>549.7380923516386</v>
      </c>
      <c r="CD13" s="66">
        <v>549.7380923516386</v>
      </c>
      <c r="CE13" s="66">
        <v>236.87739554953853</v>
      </c>
      <c r="CF13" s="29">
        <v>743.0500156994877</v>
      </c>
      <c r="CG13" s="30">
        <v>318.264402873209</v>
      </c>
      <c r="CH13" s="31">
        <v>118.50384227969758</v>
      </c>
      <c r="CI13" s="31">
        <v>11.208605441329901</v>
      </c>
      <c r="CJ13" s="31">
        <v>83.89362766183802</v>
      </c>
      <c r="CK13" s="31">
        <v>141.5677035719592</v>
      </c>
      <c r="CM13" s="5">
        <f t="shared" si="2"/>
        <v>1119.5745581265687</v>
      </c>
      <c r="CN13" s="26">
        <f t="shared" si="49"/>
        <v>24.877827039699653</v>
      </c>
      <c r="CO13" s="26"/>
      <c r="CP13" s="1">
        <f t="shared" si="3"/>
        <v>2003.3038402705265</v>
      </c>
      <c r="CQ13" s="1">
        <f t="shared" si="32"/>
        <v>2.0033038402705263</v>
      </c>
      <c r="CR13" s="1">
        <f t="shared" si="53"/>
        <v>5865.376803763422</v>
      </c>
      <c r="CS13" s="5">
        <f t="shared" si="4"/>
        <v>139.26447747243685</v>
      </c>
      <c r="CT13" s="1">
        <f t="shared" si="5"/>
        <v>428.00886246362364</v>
      </c>
      <c r="CU13" s="1">
        <f t="shared" si="6"/>
        <v>1.4181533401298536</v>
      </c>
      <c r="CV13" s="1">
        <f t="shared" si="7"/>
        <v>10.028167535811468</v>
      </c>
      <c r="CW13" s="1">
        <f t="shared" si="8"/>
        <v>65.75270707427669</v>
      </c>
      <c r="CX13" s="5">
        <f t="shared" si="9"/>
        <v>75.51090355821223</v>
      </c>
      <c r="CY13" s="5">
        <f t="shared" si="10"/>
        <v>549.7380923516386</v>
      </c>
      <c r="CZ13" s="21">
        <f t="shared" si="50"/>
        <v>0.32946006294999564</v>
      </c>
      <c r="DA13" s="21"/>
      <c r="DB13" s="5">
        <f t="shared" si="33"/>
        <v>10256.558412616516</v>
      </c>
      <c r="DC13" s="5">
        <f t="shared" si="34"/>
        <v>9706.820320264877</v>
      </c>
      <c r="DD13" s="5"/>
      <c r="DE13" s="21">
        <f t="shared" si="11"/>
        <v>0.06744799120963897</v>
      </c>
      <c r="DF13" s="21">
        <f t="shared" si="12"/>
        <v>0.1058502247457244</v>
      </c>
      <c r="DG13" s="21">
        <f t="shared" si="13"/>
        <v>0.33171754222698463</v>
      </c>
      <c r="DH13" s="21">
        <f t="shared" si="44"/>
        <v>0.008957378655690034</v>
      </c>
      <c r="DI13" s="21">
        <f t="shared" si="45"/>
        <v>111.6398042818884</v>
      </c>
      <c r="DJ13" s="21">
        <f t="shared" si="46"/>
        <v>3.8338374490778335</v>
      </c>
      <c r="DL13" s="14">
        <f t="shared" si="14"/>
        <v>10.915694262018615</v>
      </c>
      <c r="DM13" s="14">
        <f t="shared" si="15"/>
        <v>0</v>
      </c>
      <c r="DN13" s="14">
        <f t="shared" si="35"/>
        <v>57.186597763129456</v>
      </c>
      <c r="DO13" s="14">
        <f t="shared" si="16"/>
        <v>19.53193029940996</v>
      </c>
      <c r="DP13" s="14">
        <f t="shared" si="17"/>
        <v>1.357809041492209</v>
      </c>
      <c r="DQ13" s="14">
        <f t="shared" si="18"/>
        <v>4.1730261286976456</v>
      </c>
      <c r="DR13" s="14">
        <f t="shared" si="19"/>
        <v>0.09777322111748415</v>
      </c>
      <c r="DS13" s="14">
        <f t="shared" si="20"/>
        <v>0.6410796334313738</v>
      </c>
      <c r="DT13" s="14">
        <f t="shared" si="21"/>
        <v>0.7362206748155097</v>
      </c>
      <c r="DU13" s="14">
        <f t="shared" si="22"/>
        <v>5.359868975887759</v>
      </c>
      <c r="DV13" s="14"/>
      <c r="DW13" s="14">
        <f t="shared" si="23"/>
        <v>11.533895974042489</v>
      </c>
      <c r="DX13" s="14">
        <f t="shared" si="24"/>
        <v>0.2562922380232211</v>
      </c>
      <c r="DY13" s="14">
        <f t="shared" si="25"/>
        <v>20.6381057253964</v>
      </c>
      <c r="DZ13" s="14">
        <f t="shared" si="26"/>
        <v>1.4347074827551423</v>
      </c>
      <c r="EA13" s="14">
        <f t="shared" si="27"/>
        <v>4.409362163324192</v>
      </c>
      <c r="EB13" s="14">
        <f t="shared" si="28"/>
        <v>0.10331053017305489</v>
      </c>
      <c r="EC13" s="14">
        <f t="shared" si="29"/>
        <v>0.6773866714829893</v>
      </c>
      <c r="ED13" s="14">
        <f t="shared" si="30"/>
        <v>0.7779159505051157</v>
      </c>
      <c r="EE13" s="14"/>
      <c r="EG13" s="14">
        <f t="shared" si="36"/>
        <v>18.15588157062694</v>
      </c>
      <c r="EH13" s="14">
        <f t="shared" si="37"/>
        <v>20.741416255569455</v>
      </c>
      <c r="EI13" s="14">
        <f t="shared" si="38"/>
        <v>38.89729782619639</v>
      </c>
      <c r="EK13" s="14">
        <f t="shared" si="39"/>
        <v>19.53193029940996</v>
      </c>
      <c r="EL13" s="14">
        <f t="shared" si="54"/>
        <v>57.186597763129456</v>
      </c>
      <c r="EM13" s="14">
        <f t="shared" si="40"/>
        <v>6.096089650703268</v>
      </c>
      <c r="EN13" s="14">
        <f t="shared" si="41"/>
        <v>17.185382286757328</v>
      </c>
      <c r="EO13" s="14">
        <f t="shared" si="31"/>
        <v>100.00000000000001</v>
      </c>
      <c r="ES13" s="14"/>
    </row>
    <row r="14" spans="1:149" ht="12.75">
      <c r="A14" s="72" t="s">
        <v>223</v>
      </c>
      <c r="B14" s="73">
        <v>195.83333333333334</v>
      </c>
      <c r="C14" s="7">
        <v>110</v>
      </c>
      <c r="D14" s="7">
        <v>330</v>
      </c>
      <c r="E14" s="13" t="s">
        <v>166</v>
      </c>
      <c r="F14" s="60">
        <v>2</v>
      </c>
      <c r="G14" s="4">
        <v>36479.64236111111</v>
      </c>
      <c r="H14" s="4">
        <v>36480.645833333336</v>
      </c>
      <c r="I14" s="1">
        <v>13.633333333333333</v>
      </c>
      <c r="J14" s="1">
        <v>-17.983333333333334</v>
      </c>
      <c r="K14" s="1">
        <v>8.4</v>
      </c>
      <c r="L14" s="1">
        <v>-16.89</v>
      </c>
      <c r="M14" s="1">
        <v>4.211458333333335</v>
      </c>
      <c r="N14" s="1">
        <v>3.9404347826086963</v>
      </c>
      <c r="O14" s="1">
        <v>0.8051219410242856</v>
      </c>
      <c r="P14" s="1">
        <v>0.9690913833010215</v>
      </c>
      <c r="Q14" s="139">
        <v>2735.144166677684</v>
      </c>
      <c r="R14" s="5">
        <v>592.6074938523298</v>
      </c>
      <c r="S14" s="1">
        <v>16.413665911096015</v>
      </c>
      <c r="T14" s="1">
        <v>16.413665911096015</v>
      </c>
      <c r="U14" s="1">
        <v>4.755215661700126</v>
      </c>
      <c r="V14" s="1">
        <v>9.95074416183176</v>
      </c>
      <c r="W14" s="1">
        <v>0.8195208496264065</v>
      </c>
      <c r="X14" s="1">
        <v>10.61032783952004</v>
      </c>
      <c r="Y14" s="1">
        <v>0.4383066059972932</v>
      </c>
      <c r="Z14" s="1">
        <v>0</v>
      </c>
      <c r="AA14" s="1">
        <v>0</v>
      </c>
      <c r="AB14" s="1">
        <v>534.3332988060098</v>
      </c>
      <c r="AC14" s="1">
        <v>1.3642186269287884</v>
      </c>
      <c r="AD14" s="1">
        <v>0</v>
      </c>
      <c r="AE14" s="1">
        <v>0</v>
      </c>
      <c r="AF14" s="1">
        <v>664.9338018727474</v>
      </c>
      <c r="AG14" s="1">
        <v>11.06258966117505</v>
      </c>
      <c r="AH14" s="1">
        <v>664.9338018727474</v>
      </c>
      <c r="AI14" s="1">
        <v>11.06258966117505</v>
      </c>
      <c r="AJ14" s="1">
        <v>0</v>
      </c>
      <c r="AK14" s="1">
        <v>0</v>
      </c>
      <c r="AL14" s="1">
        <v>13.07183636208473</v>
      </c>
      <c r="AM14" s="1">
        <v>2.244085039934842</v>
      </c>
      <c r="AN14" s="1">
        <v>25.005255653896935</v>
      </c>
      <c r="AO14" s="1">
        <v>7.743690756468895</v>
      </c>
      <c r="AP14" s="1">
        <v>1614.9315697465458</v>
      </c>
      <c r="AQ14" s="1">
        <v>10.065030103501886</v>
      </c>
      <c r="AR14" s="14">
        <f t="shared" si="42"/>
        <v>1440.864990957038</v>
      </c>
      <c r="AS14" s="1">
        <v>104.47577509943228</v>
      </c>
      <c r="AT14" s="1">
        <v>7.671853149071209</v>
      </c>
      <c r="AU14" s="5">
        <v>690.889258485655</v>
      </c>
      <c r="AV14" s="5">
        <v>12.993089973829571</v>
      </c>
      <c r="AW14" s="5">
        <v>174.91263578828023</v>
      </c>
      <c r="AX14" s="5">
        <v>27.145181477189436</v>
      </c>
      <c r="AY14" s="5">
        <v>158.22324290237947</v>
      </c>
      <c r="AZ14" s="5">
        <v>1.061379876470661</v>
      </c>
      <c r="BA14" s="14">
        <f t="shared" si="47"/>
        <v>132.2132943476254</v>
      </c>
      <c r="BB14" s="26">
        <f aca="true" t="shared" si="55" ref="BB14:BB19">BA14-BB$5*BI14</f>
        <v>57.71008315249628</v>
      </c>
      <c r="BC14" s="26">
        <f t="shared" si="48"/>
        <v>1.2654923519044927</v>
      </c>
      <c r="BD14" s="5">
        <v>78.49534211504628</v>
      </c>
      <c r="BE14" s="5">
        <v>1.3095399203149733</v>
      </c>
      <c r="BF14" s="14"/>
      <c r="BG14" s="5">
        <v>130.80465059113797</v>
      </c>
      <c r="BH14" s="5">
        <v>4.293008004742267</v>
      </c>
      <c r="BI14" s="14">
        <f t="shared" si="51"/>
        <v>104.4195585476134</v>
      </c>
      <c r="BJ14" s="14">
        <f t="shared" si="52"/>
        <v>2867.27091444906</v>
      </c>
      <c r="BK14" s="5">
        <v>592.6074938523298</v>
      </c>
      <c r="BL14" s="5"/>
      <c r="BM14" s="5"/>
      <c r="BN14" s="21">
        <f t="shared" si="0"/>
        <v>0.43009877923844403</v>
      </c>
      <c r="BO14" s="21">
        <f t="shared" si="1"/>
        <v>0.9467911722820639</v>
      </c>
      <c r="BQ14" s="29">
        <v>233.3095155302294</v>
      </c>
      <c r="BR14" s="29">
        <v>233.3095155302294</v>
      </c>
      <c r="BS14" s="30">
        <v>44.38904016315202</v>
      </c>
      <c r="BT14" s="65">
        <v>1677.2235281148066</v>
      </c>
      <c r="BU14" s="65">
        <v>1677.2235281148066</v>
      </c>
      <c r="BV14" s="30">
        <v>153.93741815614337</v>
      </c>
      <c r="BW14" s="65">
        <v>352.2444712959672</v>
      </c>
      <c r="BX14" s="30">
        <v>72.00816775919736</v>
      </c>
      <c r="BY14" s="65">
        <v>299.7807428685653</v>
      </c>
      <c r="BZ14" s="30">
        <v>27.055376334454625</v>
      </c>
      <c r="CA14" s="65">
        <v>564.1394283903632</v>
      </c>
      <c r="CB14" s="30">
        <v>39.31331631987058</v>
      </c>
      <c r="CC14" s="66">
        <v>1216.1646425548956</v>
      </c>
      <c r="CD14" s="66">
        <v>1216.1646425548956</v>
      </c>
      <c r="CE14" s="66">
        <v>138.37686041352256</v>
      </c>
      <c r="CF14" s="29">
        <v>1710.0808672040314</v>
      </c>
      <c r="CG14" s="30">
        <v>190.02916281075588</v>
      </c>
      <c r="CH14" s="31">
        <v>356.5462293373609</v>
      </c>
      <c r="CI14" s="31">
        <v>138.10614314567752</v>
      </c>
      <c r="CJ14" s="31">
        <v>83.39963532556283</v>
      </c>
      <c r="CK14" s="31">
        <v>603.3413667368934</v>
      </c>
      <c r="CM14" s="5">
        <f t="shared" si="2"/>
        <v>1440.8965655340094</v>
      </c>
      <c r="CN14" s="26">
        <f t="shared" si="49"/>
        <v>132.24580678331884</v>
      </c>
      <c r="CO14" s="26">
        <f t="shared" si="43"/>
        <v>57.71008315249628</v>
      </c>
      <c r="CP14" s="1">
        <f t="shared" si="3"/>
        <v>1536.1227236102095</v>
      </c>
      <c r="CQ14" s="1">
        <f t="shared" si="32"/>
        <v>1.5361227236102095</v>
      </c>
      <c r="CR14" s="1">
        <f t="shared" si="53"/>
        <v>2867.27091444906</v>
      </c>
      <c r="CS14" s="5">
        <f t="shared" si="4"/>
        <v>174.91263578828023</v>
      </c>
      <c r="CT14" s="1">
        <f t="shared" si="5"/>
        <v>664.9338018727474</v>
      </c>
      <c r="CU14" s="1">
        <f t="shared" si="6"/>
        <v>1.1220475757912713</v>
      </c>
      <c r="CV14" s="1">
        <f t="shared" si="7"/>
        <v>10.61032783952004</v>
      </c>
      <c r="CW14" s="1">
        <f t="shared" si="8"/>
        <v>168.91727718834173</v>
      </c>
      <c r="CX14" s="5">
        <f t="shared" si="9"/>
        <v>233.3095155302294</v>
      </c>
      <c r="CY14" s="5">
        <f t="shared" si="10"/>
        <v>1216.1646425548956</v>
      </c>
      <c r="CZ14" s="21">
        <f t="shared" si="50"/>
        <v>0.5668256028168043</v>
      </c>
      <c r="DA14" s="21">
        <f aca="true" t="shared" si="56" ref="DA14:DA23">BB14/CX14</f>
        <v>0.24735417679532629</v>
      </c>
      <c r="DB14" s="5">
        <f t="shared" si="33"/>
        <v>8370.84848751979</v>
      </c>
      <c r="DC14" s="5">
        <f t="shared" si="34"/>
        <v>7154.683844964894</v>
      </c>
      <c r="DD14" s="5"/>
      <c r="DE14" s="21">
        <f t="shared" si="11"/>
        <v>0.16192323152723886</v>
      </c>
      <c r="DF14" s="21">
        <f t="shared" si="12"/>
        <v>0.24745290611894116</v>
      </c>
      <c r="DG14" s="21">
        <f t="shared" si="13"/>
        <v>0.32371783502464285</v>
      </c>
      <c r="DH14" s="21">
        <f t="shared" si="44"/>
        <v>0.007363859838438123</v>
      </c>
      <c r="DI14" s="21">
        <f t="shared" si="45"/>
        <v>135.7983478691659</v>
      </c>
      <c r="DJ14" s="21">
        <f t="shared" si="46"/>
        <v>4.896479318830696</v>
      </c>
      <c r="DL14" s="14">
        <f t="shared" si="14"/>
        <v>17.213267779034126</v>
      </c>
      <c r="DM14" s="14">
        <f t="shared" si="15"/>
        <v>0.6894173659759463</v>
      </c>
      <c r="DN14" s="14">
        <f t="shared" si="35"/>
        <v>34.253049959319085</v>
      </c>
      <c r="DO14" s="14">
        <f t="shared" si="16"/>
        <v>18.350860440258064</v>
      </c>
      <c r="DP14" s="14">
        <f t="shared" si="17"/>
        <v>2.0895448776675365</v>
      </c>
      <c r="DQ14" s="14">
        <f t="shared" si="18"/>
        <v>7.943445671775162</v>
      </c>
      <c r="DR14" s="14">
        <f t="shared" si="19"/>
        <v>0.12675331366156153</v>
      </c>
      <c r="DS14" s="14">
        <f t="shared" si="20"/>
        <v>2.0179230031481605</v>
      </c>
      <c r="DT14" s="14">
        <f t="shared" si="21"/>
        <v>2.7871668669917233</v>
      </c>
      <c r="DU14" s="14">
        <f t="shared" si="22"/>
        <v>14.528570722168627</v>
      </c>
      <c r="DV14" s="14"/>
      <c r="DW14" s="14">
        <f t="shared" si="23"/>
        <v>20.1392066617736</v>
      </c>
      <c r="DX14" s="14">
        <f t="shared" si="24"/>
        <v>1.8483808599926714</v>
      </c>
      <c r="DY14" s="14">
        <f t="shared" si="25"/>
        <v>21.470169149280512</v>
      </c>
      <c r="DZ14" s="14">
        <f t="shared" si="26"/>
        <v>2.4447290694944535</v>
      </c>
      <c r="EA14" s="14">
        <f t="shared" si="27"/>
        <v>9.293685315539054</v>
      </c>
      <c r="EB14" s="14">
        <f t="shared" si="28"/>
        <v>0.14829904534477864</v>
      </c>
      <c r="EC14" s="14">
        <f t="shared" si="29"/>
        <v>2.3609327937979705</v>
      </c>
      <c r="ED14" s="14">
        <f t="shared" si="30"/>
        <v>3.260933964180973</v>
      </c>
      <c r="EE14" s="14"/>
      <c r="EG14" s="14">
        <f t="shared" si="36"/>
        <v>35.13855501098808</v>
      </c>
      <c r="EH14" s="14">
        <f t="shared" si="37"/>
        <v>21.61846819462529</v>
      </c>
      <c r="EI14" s="14">
        <f t="shared" si="38"/>
        <v>56.757023205613365</v>
      </c>
      <c r="EK14" s="14">
        <f t="shared" si="39"/>
        <v>18.350860440258064</v>
      </c>
      <c r="EL14" s="14">
        <f t="shared" si="54"/>
        <v>34.253049959319085</v>
      </c>
      <c r="EM14" s="14">
        <f t="shared" si="40"/>
        <v>17.31573758916035</v>
      </c>
      <c r="EN14" s="14">
        <f t="shared" si="41"/>
        <v>30.08035201126249</v>
      </c>
      <c r="EO14" s="14">
        <f t="shared" si="31"/>
        <v>99.99999999999999</v>
      </c>
      <c r="EP14" s="21"/>
      <c r="EQ14" s="21"/>
      <c r="ER14" s="21"/>
      <c r="ES14" s="14"/>
    </row>
    <row r="15" spans="1:149" ht="12.75">
      <c r="A15" s="72" t="s">
        <v>224</v>
      </c>
      <c r="B15" s="73">
        <v>386.6666666666667</v>
      </c>
      <c r="C15" s="7">
        <v>330</v>
      </c>
      <c r="D15" s="7">
        <v>440</v>
      </c>
      <c r="E15" s="13" t="s">
        <v>167</v>
      </c>
      <c r="F15" s="60">
        <v>2</v>
      </c>
      <c r="G15" s="4">
        <v>36480.649305555555</v>
      </c>
      <c r="H15" s="4">
        <v>36481.64236111111</v>
      </c>
      <c r="I15" s="1">
        <v>8.4</v>
      </c>
      <c r="J15" s="1">
        <v>-16.883333333333333</v>
      </c>
      <c r="K15" s="1">
        <v>4.208333333333333</v>
      </c>
      <c r="L15" s="1">
        <v>-14.9</v>
      </c>
      <c r="M15" s="1">
        <v>3.776875</v>
      </c>
      <c r="N15" s="1">
        <v>3.3156410256410256</v>
      </c>
      <c r="O15" s="1">
        <v>0.8032961098017749</v>
      </c>
      <c r="P15" s="1">
        <v>0.736407448689067</v>
      </c>
      <c r="Q15" s="139">
        <v>2654.318333331172</v>
      </c>
      <c r="R15" s="5">
        <v>793.2826451089763</v>
      </c>
      <c r="S15" s="1">
        <v>6.79814281855373</v>
      </c>
      <c r="T15" s="1">
        <v>6.79814281855373</v>
      </c>
      <c r="U15" s="1">
        <v>5.692533952855207</v>
      </c>
      <c r="V15" s="1">
        <v>8.600529538275877</v>
      </c>
      <c r="W15" s="1">
        <v>0.21386549547028355</v>
      </c>
      <c r="X15" s="1">
        <v>19.182484563319253</v>
      </c>
      <c r="Y15" s="1">
        <v>2.530963089873748</v>
      </c>
      <c r="Z15" s="1">
        <v>0</v>
      </c>
      <c r="AA15" s="1">
        <v>0</v>
      </c>
      <c r="AB15" s="1">
        <v>258.14559502921406</v>
      </c>
      <c r="AC15" s="1">
        <v>30.020443471994444</v>
      </c>
      <c r="AD15" s="1">
        <v>0</v>
      </c>
      <c r="AE15" s="1">
        <v>0</v>
      </c>
      <c r="AF15" s="1">
        <v>308.26097480115214</v>
      </c>
      <c r="AG15" s="1">
        <v>46.07854909882303</v>
      </c>
      <c r="AH15" s="1">
        <v>308.26097480115214</v>
      </c>
      <c r="AI15" s="1">
        <v>46.07854909882303</v>
      </c>
      <c r="AJ15" s="1">
        <v>0</v>
      </c>
      <c r="AK15" s="1">
        <v>0</v>
      </c>
      <c r="AL15" s="1">
        <v>25.206338480948002</v>
      </c>
      <c r="AM15" s="1">
        <v>18.862954512288976</v>
      </c>
      <c r="AN15" s="1">
        <v>18.868161751790026</v>
      </c>
      <c r="AO15" s="1">
        <v>6.569428711330053</v>
      </c>
      <c r="AP15" s="1">
        <v>1862.8381461895185</v>
      </c>
      <c r="AQ15" s="1">
        <v>1.6260300184197602</v>
      </c>
      <c r="AR15" s="14">
        <f t="shared" si="42"/>
        <v>1725.8804461812304</v>
      </c>
      <c r="AS15" s="1">
        <v>90.1530662074048</v>
      </c>
      <c r="AT15" s="1">
        <v>3.370319691070041</v>
      </c>
      <c r="AU15" s="5">
        <v>543.6000664840462</v>
      </c>
      <c r="AV15" s="5">
        <v>8.57417462349161</v>
      </c>
      <c r="AW15" s="5">
        <v>200.08179072845348</v>
      </c>
      <c r="AX15" s="5">
        <v>83.8302837025555</v>
      </c>
      <c r="AY15" s="5">
        <v>190.49444083290294</v>
      </c>
      <c r="AZ15" s="5">
        <v>14.281461801220708</v>
      </c>
      <c r="BA15" s="14">
        <f t="shared" si="47"/>
        <v>170.02949715350354</v>
      </c>
      <c r="BB15" s="26">
        <f t="shared" si="55"/>
        <v>136.920919133716</v>
      </c>
      <c r="BC15" s="26">
        <f t="shared" si="48"/>
        <v>1.8860090322644845</v>
      </c>
      <c r="BD15" s="5">
        <v>54.6042217641651</v>
      </c>
      <c r="BE15" s="5">
        <v>2.246520672635394</v>
      </c>
      <c r="BF15" s="14"/>
      <c r="BG15" s="5">
        <v>67.16325330304305</v>
      </c>
      <c r="BH15" s="5">
        <v>2.253120076988644</v>
      </c>
      <c r="BI15" s="14">
        <f t="shared" si="51"/>
        <v>46.403142166729246</v>
      </c>
      <c r="BJ15" s="14">
        <f t="shared" si="52"/>
        <v>1274.1902161273645</v>
      </c>
      <c r="BK15" s="5">
        <v>793.2826451089763</v>
      </c>
      <c r="BL15" s="5"/>
      <c r="BM15" s="5"/>
      <c r="BN15" s="21">
        <f t="shared" si="0"/>
        <v>0.26408858427847237</v>
      </c>
      <c r="BO15" s="21">
        <f t="shared" si="1"/>
        <v>0.8370771260407803</v>
      </c>
      <c r="BQ15" s="29">
        <v>256.33832132094415</v>
      </c>
      <c r="BR15" s="29">
        <v>256.33832132094415</v>
      </c>
      <c r="BS15" s="30">
        <v>46.94684562938833</v>
      </c>
      <c r="BT15" s="65">
        <v>1694.8833677922535</v>
      </c>
      <c r="BU15" s="65">
        <v>1694.8833677922535</v>
      </c>
      <c r="BV15" s="30">
        <v>154.81554160756454</v>
      </c>
      <c r="BW15" s="65">
        <v>292.76717723218843</v>
      </c>
      <c r="BX15" s="30">
        <v>79.1453498468735</v>
      </c>
      <c r="BY15" s="65">
        <v>274.7622259155945</v>
      </c>
      <c r="BZ15" s="30">
        <v>31.490968998507245</v>
      </c>
      <c r="CA15" s="65">
        <v>535.2909273184074</v>
      </c>
      <c r="CB15" s="30">
        <v>46.1140434374561</v>
      </c>
      <c r="CC15" s="66">
        <v>1102.8203304661904</v>
      </c>
      <c r="CD15" s="66">
        <v>1102.8203304661904</v>
      </c>
      <c r="CE15" s="66">
        <v>156.75036228283687</v>
      </c>
      <c r="CF15" s="29">
        <v>1595.4772940298894</v>
      </c>
      <c r="CG15" s="30">
        <v>215.89536932836873</v>
      </c>
      <c r="CH15" s="31">
        <v>343.2485718460566</v>
      </c>
      <c r="CI15" s="31">
        <v>124.57902862753123</v>
      </c>
      <c r="CJ15" s="31">
        <v>185.45912522331673</v>
      </c>
      <c r="CK15" s="31">
        <v>600.7197864325358</v>
      </c>
      <c r="CM15" s="5">
        <f t="shared" si="2"/>
        <v>1725.9052894421873</v>
      </c>
      <c r="CN15" s="26">
        <f t="shared" si="49"/>
        <v>170.0550783331028</v>
      </c>
      <c r="CO15" s="26">
        <f t="shared" si="43"/>
        <v>136.920919133716</v>
      </c>
      <c r="CP15" s="1">
        <f t="shared" si="3"/>
        <v>1046.3656914310811</v>
      </c>
      <c r="CQ15" s="1">
        <f t="shared" si="32"/>
        <v>1.046365691431081</v>
      </c>
      <c r="CR15" s="1">
        <f t="shared" si="53"/>
        <v>1274.1902161273645</v>
      </c>
      <c r="CS15" s="5">
        <f t="shared" si="4"/>
        <v>200.08179072845348</v>
      </c>
      <c r="CT15" s="1">
        <f t="shared" si="5"/>
        <v>308.26097480115214</v>
      </c>
      <c r="CU15" s="1">
        <f t="shared" si="6"/>
        <v>0.38858908196435477</v>
      </c>
      <c r="CV15" s="1">
        <f t="shared" si="7"/>
        <v>19.182484563319253</v>
      </c>
      <c r="CW15" s="1">
        <f t="shared" si="8"/>
        <v>149.62623879697244</v>
      </c>
      <c r="CX15" s="5">
        <f t="shared" si="9"/>
        <v>256.33832132094415</v>
      </c>
      <c r="CY15" s="5">
        <f t="shared" si="10"/>
        <v>1102.8203304661904</v>
      </c>
      <c r="CZ15" s="21">
        <f t="shared" si="50"/>
        <v>0.6634009205365287</v>
      </c>
      <c r="DA15" s="21">
        <f t="shared" si="56"/>
        <v>0.5341414363180074</v>
      </c>
      <c r="DB15" s="5">
        <f t="shared" si="33"/>
        <v>6219.692256811381</v>
      </c>
      <c r="DC15" s="5">
        <f t="shared" si="34"/>
        <v>5116.871926345191</v>
      </c>
      <c r="DD15" s="5"/>
      <c r="DE15" s="21">
        <f t="shared" si="11"/>
        <v>0.1485261171410402</v>
      </c>
      <c r="DF15" s="21">
        <f t="shared" si="12"/>
        <v>0.19888316864910638</v>
      </c>
      <c r="DG15" s="21">
        <f t="shared" si="13"/>
        <v>0.30914739379723855</v>
      </c>
      <c r="DH15" s="21">
        <f t="shared" si="44"/>
        <v>0.01111460797053665</v>
      </c>
      <c r="DI15" s="21">
        <f t="shared" si="45"/>
        <v>89.9716843500794</v>
      </c>
      <c r="DJ15" s="21">
        <f t="shared" si="46"/>
        <v>3.426199887530283</v>
      </c>
      <c r="DL15" s="14">
        <f t="shared" si="14"/>
        <v>27.74904638653293</v>
      </c>
      <c r="DM15" s="14">
        <f t="shared" si="15"/>
        <v>2.2014098685311896</v>
      </c>
      <c r="DN15" s="14">
        <f t="shared" si="35"/>
        <v>20.48638684224221</v>
      </c>
      <c r="DO15" s="14">
        <f t="shared" si="16"/>
        <v>16.82343190348643</v>
      </c>
      <c r="DP15" s="14">
        <f t="shared" si="17"/>
        <v>3.2169082081084897</v>
      </c>
      <c r="DQ15" s="14">
        <f t="shared" si="18"/>
        <v>4.956209440484226</v>
      </c>
      <c r="DR15" s="14">
        <f t="shared" si="19"/>
        <v>0.30841533264466436</v>
      </c>
      <c r="DS15" s="14">
        <f t="shared" si="20"/>
        <v>2.4056855647980333</v>
      </c>
      <c r="DT15" s="14">
        <f t="shared" si="21"/>
        <v>4.121398788504687</v>
      </c>
      <c r="DU15" s="14">
        <f t="shared" si="22"/>
        <v>17.73110766466712</v>
      </c>
      <c r="DV15" s="14"/>
      <c r="DW15" s="14">
        <f t="shared" si="23"/>
        <v>33.729694905124255</v>
      </c>
      <c r="DX15" s="14">
        <f t="shared" si="24"/>
        <v>3.323418697613708</v>
      </c>
      <c r="DY15" s="14">
        <f t="shared" si="25"/>
        <v>20.449323463494714</v>
      </c>
      <c r="DZ15" s="14">
        <f t="shared" si="26"/>
        <v>3.9102364414925885</v>
      </c>
      <c r="EA15" s="14">
        <f t="shared" si="27"/>
        <v>6.024402784326332</v>
      </c>
      <c r="EB15" s="14">
        <f t="shared" si="28"/>
        <v>0.3748869395099489</v>
      </c>
      <c r="EC15" s="14">
        <f t="shared" si="29"/>
        <v>2.92417400612654</v>
      </c>
      <c r="ED15" s="14">
        <f t="shared" si="30"/>
        <v>5.0096685047194045</v>
      </c>
      <c r="EE15" s="14"/>
      <c r="EG15" s="14">
        <f t="shared" si="36"/>
        <v>48.67400263566258</v>
      </c>
      <c r="EH15" s="14">
        <f t="shared" si="37"/>
        <v>20.824210403004663</v>
      </c>
      <c r="EI15" s="14">
        <f t="shared" si="38"/>
        <v>69.49821303866725</v>
      </c>
      <c r="EK15" s="14">
        <f t="shared" si="39"/>
        <v>16.82343190348643</v>
      </c>
      <c r="EL15" s="14">
        <f t="shared" si="54"/>
        <v>20.48638684224221</v>
      </c>
      <c r="EM15" s="14">
        <f t="shared" si="40"/>
        <v>21.85250645317181</v>
      </c>
      <c r="EN15" s="14">
        <f t="shared" si="41"/>
        <v>40.83767480109954</v>
      </c>
      <c r="EO15" s="14">
        <f t="shared" si="31"/>
        <v>99.99999999999999</v>
      </c>
      <c r="EP15" s="21"/>
      <c r="EQ15" s="21"/>
      <c r="ER15" s="21"/>
      <c r="ES15" s="14"/>
    </row>
    <row r="16" spans="1:149" ht="12.75">
      <c r="A16" s="72" t="s">
        <v>225</v>
      </c>
      <c r="B16" s="73">
        <v>499</v>
      </c>
      <c r="C16" s="7">
        <v>440</v>
      </c>
      <c r="D16" s="7">
        <v>575</v>
      </c>
      <c r="E16" s="13" t="s">
        <v>168</v>
      </c>
      <c r="F16" s="60">
        <v>2</v>
      </c>
      <c r="G16" s="4">
        <v>36481.70138888889</v>
      </c>
      <c r="H16" s="4">
        <v>36482.51736111111</v>
      </c>
      <c r="I16" s="1">
        <v>4.1</v>
      </c>
      <c r="J16" s="1">
        <v>-14.766666666666667</v>
      </c>
      <c r="K16" s="1">
        <v>0.8666666666666667</v>
      </c>
      <c r="L16" s="1">
        <v>-12.158333333333333</v>
      </c>
      <c r="M16" s="1">
        <v>2.7352631578947366</v>
      </c>
      <c r="N16" s="1">
        <v>2.7352631578947366</v>
      </c>
      <c r="O16" s="1">
        <v>0.5063325997716713</v>
      </c>
      <c r="P16" s="1">
        <v>0.5063325997716713</v>
      </c>
      <c r="Q16" s="139">
        <v>2267.162499991015</v>
      </c>
      <c r="R16" s="5">
        <v>484.32164220596485</v>
      </c>
      <c r="S16" s="1">
        <v>10.902252446489165</v>
      </c>
      <c r="T16" s="1">
        <v>10.902252446489165</v>
      </c>
      <c r="U16" s="1">
        <v>1.3468972126316916</v>
      </c>
      <c r="V16" s="1">
        <v>4.11294795483276</v>
      </c>
      <c r="W16" s="1">
        <v>0.24040960380655096</v>
      </c>
      <c r="X16" s="1">
        <v>21.61016943049195</v>
      </c>
      <c r="Y16" s="1">
        <v>3.8311657716107583</v>
      </c>
      <c r="Z16" s="1">
        <v>0</v>
      </c>
      <c r="AA16" s="1">
        <v>0</v>
      </c>
      <c r="AB16" s="1">
        <v>397.3614194379251</v>
      </c>
      <c r="AC16" s="1">
        <v>45.226317196860286</v>
      </c>
      <c r="AD16" s="1">
        <v>0</v>
      </c>
      <c r="AE16" s="1">
        <v>0</v>
      </c>
      <c r="AF16" s="1">
        <v>217.77228948729723</v>
      </c>
      <c r="AG16" s="1">
        <v>1.447719445485973</v>
      </c>
      <c r="AH16" s="1">
        <v>217.77228948729723</v>
      </c>
      <c r="AI16" s="1">
        <v>1.447719445485973</v>
      </c>
      <c r="AJ16" s="1">
        <v>0</v>
      </c>
      <c r="AK16" s="1">
        <v>0</v>
      </c>
      <c r="AL16" s="1">
        <v>7.183646228887189</v>
      </c>
      <c r="AM16" s="1">
        <v>7.183646228887189</v>
      </c>
      <c r="AN16" s="1">
        <v>0</v>
      </c>
      <c r="AO16" s="1">
        <v>0</v>
      </c>
      <c r="AP16" s="1">
        <v>1451.5687296571693</v>
      </c>
      <c r="AQ16" s="1">
        <v>1.385319888819445</v>
      </c>
      <c r="AR16" s="14">
        <f t="shared" si="42"/>
        <v>1304.4214788450527</v>
      </c>
      <c r="AS16" s="1">
        <v>65.21841923221832</v>
      </c>
      <c r="AT16" s="1">
        <v>0.8635824531827225</v>
      </c>
      <c r="AU16" s="5">
        <v>584.0435062765403</v>
      </c>
      <c r="AV16" s="5">
        <v>10.99117576876807</v>
      </c>
      <c r="AW16" s="5">
        <v>131.8190188204748</v>
      </c>
      <c r="AX16" s="5">
        <v>12.136710689278498</v>
      </c>
      <c r="AY16" s="5">
        <v>106.16755355526219</v>
      </c>
      <c r="AZ16" s="5">
        <v>1.204857991808483</v>
      </c>
      <c r="BA16" s="14">
        <f t="shared" si="47"/>
        <v>84.18003331896891</v>
      </c>
      <c r="BB16" s="26">
        <f t="shared" si="55"/>
        <v>64.31479239185867</v>
      </c>
      <c r="BC16" s="26">
        <f t="shared" si="48"/>
        <v>1.290740166811394</v>
      </c>
      <c r="BD16" s="5">
        <v>62.900615720162264</v>
      </c>
      <c r="BE16" s="5">
        <v>1.6305827454065434</v>
      </c>
      <c r="BF16" s="14"/>
      <c r="BG16" s="5">
        <v>50.14666513873113</v>
      </c>
      <c r="BH16" s="5">
        <v>0.4235431711876477</v>
      </c>
      <c r="BI16" s="14">
        <f t="shared" si="51"/>
        <v>27.84201720672208</v>
      </c>
      <c r="BJ16" s="14">
        <f t="shared" si="52"/>
        <v>764.5177517200783</v>
      </c>
      <c r="BK16" s="5">
        <v>484.32164220596485</v>
      </c>
      <c r="BL16" s="5"/>
      <c r="BM16" s="5"/>
      <c r="BN16" s="21">
        <f t="shared" si="0"/>
        <v>0.37835973246125837</v>
      </c>
      <c r="BO16" s="21">
        <f t="shared" si="1"/>
        <v>0.8974875878849811</v>
      </c>
      <c r="BQ16" s="29">
        <v>162.64840934620483</v>
      </c>
      <c r="BR16" s="29">
        <v>162.64840934620483</v>
      </c>
      <c r="BS16" s="30">
        <v>48.78374721725431</v>
      </c>
      <c r="BT16" s="65">
        <v>1431.8923986336702</v>
      </c>
      <c r="BU16" s="65">
        <v>1431.8923986336702</v>
      </c>
      <c r="BV16" s="30">
        <v>183.56334971535654</v>
      </c>
      <c r="BW16" s="65">
        <v>137.2921745763099</v>
      </c>
      <c r="BX16" s="30">
        <v>82.86012703235465</v>
      </c>
      <c r="BY16" s="65">
        <v>180.5666888142697</v>
      </c>
      <c r="BZ16" s="30">
        <v>28.272584533773937</v>
      </c>
      <c r="CA16" s="65">
        <v>228.11819413069625</v>
      </c>
      <c r="CB16" s="30">
        <v>55.01632480786859</v>
      </c>
      <c r="CC16" s="66">
        <v>545.9770575212758</v>
      </c>
      <c r="CD16" s="66">
        <v>545.9770575212758</v>
      </c>
      <c r="CE16" s="66">
        <v>166.14903637399718</v>
      </c>
      <c r="CF16" s="29">
        <v>825.6205506220398</v>
      </c>
      <c r="CG16" s="30">
        <v>238.12228701513118</v>
      </c>
      <c r="CH16" s="31">
        <v>226.58383839782283</v>
      </c>
      <c r="CI16" s="31">
        <v>57.88087780877176</v>
      </c>
      <c r="CJ16" s="31">
        <v>48.36443085372663</v>
      </c>
      <c r="CK16" s="31">
        <v>325.3149132903055</v>
      </c>
      <c r="CM16" s="5">
        <f t="shared" si="2"/>
        <v>1304.4481704261088</v>
      </c>
      <c r="CN16" s="26">
        <f t="shared" si="49"/>
        <v>84.20751771926427</v>
      </c>
      <c r="CO16" s="26">
        <f t="shared" si="43"/>
        <v>64.31479239185867</v>
      </c>
      <c r="CP16" s="1">
        <f t="shared" si="3"/>
        <v>1244.2245035389085</v>
      </c>
      <c r="CQ16" s="1">
        <f t="shared" si="32"/>
        <v>1.2442245035389086</v>
      </c>
      <c r="CR16" s="1">
        <f t="shared" si="53"/>
        <v>764.5177517200783</v>
      </c>
      <c r="CS16" s="5">
        <f t="shared" si="4"/>
        <v>131.8190188204748</v>
      </c>
      <c r="CT16" s="1">
        <f t="shared" si="5"/>
        <v>217.77228948729723</v>
      </c>
      <c r="CU16" s="1">
        <f t="shared" si="6"/>
        <v>0.44964393599137653</v>
      </c>
      <c r="CV16" s="1">
        <f t="shared" si="7"/>
        <v>21.61016943049195</v>
      </c>
      <c r="CW16" s="1">
        <f t="shared" si="8"/>
        <v>87.41726586242743</v>
      </c>
      <c r="CX16" s="5">
        <f t="shared" si="9"/>
        <v>162.64840934620483</v>
      </c>
      <c r="CY16" s="5">
        <f t="shared" si="10"/>
        <v>545.9770575212758</v>
      </c>
      <c r="CZ16" s="21">
        <f t="shared" si="50"/>
        <v>0.5177272747870814</v>
      </c>
      <c r="DA16" s="21">
        <f t="shared" si="56"/>
        <v>0.39542220333038486</v>
      </c>
      <c r="DB16" s="5">
        <f t="shared" si="33"/>
        <v>4544.749428545127</v>
      </c>
      <c r="DC16" s="5">
        <f t="shared" si="34"/>
        <v>3998.772371023851</v>
      </c>
      <c r="DD16" s="5"/>
      <c r="DE16" s="21">
        <f t="shared" si="11"/>
        <v>0.12469007294345942</v>
      </c>
      <c r="DF16" s="21">
        <f t="shared" si="12"/>
        <v>0.17370446751493415</v>
      </c>
      <c r="DG16" s="21">
        <f t="shared" si="13"/>
        <v>0.26948144386008044</v>
      </c>
      <c r="DH16" s="21">
        <f t="shared" si="44"/>
        <v>0.016566861080534952</v>
      </c>
      <c r="DI16" s="21">
        <f t="shared" si="45"/>
        <v>60.36146468173979</v>
      </c>
      <c r="DJ16" s="21">
        <f t="shared" si="46"/>
        <v>3.6078032671260956</v>
      </c>
      <c r="DL16" s="14">
        <f t="shared" si="14"/>
        <v>28.702312216224673</v>
      </c>
      <c r="DM16" s="14">
        <f t="shared" si="15"/>
        <v>1.4151449580015072</v>
      </c>
      <c r="DN16" s="14">
        <f t="shared" si="35"/>
        <v>16.822000062714505</v>
      </c>
      <c r="DO16" s="14">
        <f t="shared" si="16"/>
        <v>27.377185983545232</v>
      </c>
      <c r="DP16" s="14">
        <f t="shared" si="17"/>
        <v>2.900468351291986</v>
      </c>
      <c r="DQ16" s="14">
        <f t="shared" si="18"/>
        <v>4.791733689859572</v>
      </c>
      <c r="DR16" s="14">
        <f t="shared" si="19"/>
        <v>0.4754974893612525</v>
      </c>
      <c r="DS16" s="14">
        <f t="shared" si="20"/>
        <v>1.9234782299188629</v>
      </c>
      <c r="DT16" s="14">
        <f t="shared" si="21"/>
        <v>3.578820172672801</v>
      </c>
      <c r="DU16" s="14">
        <f t="shared" si="22"/>
        <v>12.013358846409602</v>
      </c>
      <c r="DV16" s="14"/>
      <c r="DW16" s="14">
        <f t="shared" si="23"/>
        <v>32.62121594813651</v>
      </c>
      <c r="DX16" s="14">
        <f t="shared" si="24"/>
        <v>2.105834238764225</v>
      </c>
      <c r="DY16" s="14">
        <f t="shared" si="25"/>
        <v>31.115162057107433</v>
      </c>
      <c r="DZ16" s="14">
        <f t="shared" si="26"/>
        <v>3.2964871863092244</v>
      </c>
      <c r="EA16" s="14">
        <f t="shared" si="27"/>
        <v>5.4459786474802145</v>
      </c>
      <c r="EB16" s="14">
        <f t="shared" si="28"/>
        <v>0.5404200946041561</v>
      </c>
      <c r="EC16" s="14">
        <f t="shared" si="29"/>
        <v>2.1861025772778606</v>
      </c>
      <c r="ED16" s="14">
        <f t="shared" si="30"/>
        <v>4.067458566153895</v>
      </c>
      <c r="EE16" s="14"/>
      <c r="EG16" s="14">
        <f t="shared" si="36"/>
        <v>45.43114034807984</v>
      </c>
      <c r="EH16" s="14">
        <f t="shared" si="37"/>
        <v>31.655582151711588</v>
      </c>
      <c r="EI16" s="14">
        <f t="shared" si="38"/>
        <v>77.08672249979143</v>
      </c>
      <c r="EK16" s="14">
        <f t="shared" si="39"/>
        <v>27.377185983545232</v>
      </c>
      <c r="EL16" s="14">
        <f t="shared" si="54"/>
        <v>16.822000062714505</v>
      </c>
      <c r="EM16" s="14">
        <f t="shared" si="40"/>
        <v>15.592179019082403</v>
      </c>
      <c r="EN16" s="14">
        <f t="shared" si="41"/>
        <v>40.20863493465785</v>
      </c>
      <c r="EO16" s="14">
        <f t="shared" si="31"/>
        <v>100</v>
      </c>
      <c r="EP16" s="21"/>
      <c r="EQ16" s="21"/>
      <c r="ER16" s="21"/>
      <c r="ES16" s="14"/>
    </row>
    <row r="17" spans="1:149" s="67" customFormat="1" ht="12.75">
      <c r="A17" s="82" t="s">
        <v>226</v>
      </c>
      <c r="B17" s="83">
        <v>730.8333333333334</v>
      </c>
      <c r="C17" s="84">
        <v>580</v>
      </c>
      <c r="D17" s="84">
        <v>900</v>
      </c>
      <c r="E17" s="85" t="s">
        <v>169</v>
      </c>
      <c r="F17" s="61">
        <v>2</v>
      </c>
      <c r="G17" s="3">
        <v>36482.600694444445</v>
      </c>
      <c r="H17" s="3">
        <v>36483.59722222222</v>
      </c>
      <c r="I17" s="68">
        <v>0.5</v>
      </c>
      <c r="J17" s="68">
        <v>-11.85</v>
      </c>
      <c r="K17" s="68">
        <v>-3.815</v>
      </c>
      <c r="L17" s="68">
        <v>-8.285</v>
      </c>
      <c r="M17" s="68">
        <v>2.0730434782608698</v>
      </c>
      <c r="N17" s="68">
        <v>2.0730434782608698</v>
      </c>
      <c r="O17" s="68">
        <v>0.2683366755655334</v>
      </c>
      <c r="P17" s="68">
        <v>0.3121030080755726</v>
      </c>
      <c r="Q17" s="140">
        <v>2874.065833321675</v>
      </c>
      <c r="R17" s="87">
        <v>368.4636285675546</v>
      </c>
      <c r="S17" s="68">
        <v>3.996007858289692</v>
      </c>
      <c r="T17" s="68">
        <v>3.996007858289692</v>
      </c>
      <c r="U17" s="68">
        <v>0.8027625569945807</v>
      </c>
      <c r="V17" s="68">
        <v>2.9862930580891773</v>
      </c>
      <c r="W17" s="68">
        <v>0.025943289719289955</v>
      </c>
      <c r="X17" s="68">
        <v>19.683365139322635</v>
      </c>
      <c r="Y17" s="68">
        <v>4.021671166011142</v>
      </c>
      <c r="Z17" s="68">
        <v>0</v>
      </c>
      <c r="AA17" s="68">
        <v>0</v>
      </c>
      <c r="AB17" s="68">
        <v>199.88534234621892</v>
      </c>
      <c r="AC17" s="68">
        <v>20.126722325808856</v>
      </c>
      <c r="AD17" s="68">
        <v>0</v>
      </c>
      <c r="AE17" s="68">
        <v>0</v>
      </c>
      <c r="AF17" s="68">
        <v>118.28644854838772</v>
      </c>
      <c r="AG17" s="68">
        <v>7.0132569307519415</v>
      </c>
      <c r="AH17" s="68">
        <v>118.28644854838772</v>
      </c>
      <c r="AI17" s="68">
        <v>7.0132569307519415</v>
      </c>
      <c r="AJ17" s="68">
        <v>0</v>
      </c>
      <c r="AK17" s="68">
        <v>0</v>
      </c>
      <c r="AL17" s="68">
        <v>4.693953726755429</v>
      </c>
      <c r="AM17" s="68">
        <v>4.693953726755429</v>
      </c>
      <c r="AN17" s="68">
        <v>0</v>
      </c>
      <c r="AO17" s="68">
        <v>0</v>
      </c>
      <c r="AP17" s="68">
        <v>1046.773242289198</v>
      </c>
      <c r="AQ17" s="68">
        <v>10.60240353530548</v>
      </c>
      <c r="AR17" s="70">
        <f t="shared" si="42"/>
        <v>951.1824278562684</v>
      </c>
      <c r="AS17" s="68">
        <v>42.33304350458218</v>
      </c>
      <c r="AT17" s="68">
        <v>0.45253300799205826</v>
      </c>
      <c r="AU17" s="87">
        <v>379.4103805617351</v>
      </c>
      <c r="AV17" s="87">
        <v>1.3606557060462798</v>
      </c>
      <c r="AW17" s="87">
        <v>89.95611083575578</v>
      </c>
      <c r="AX17" s="87">
        <v>8.458522272138662</v>
      </c>
      <c r="AY17" s="87">
        <v>74.77027262152176</v>
      </c>
      <c r="AZ17" s="87">
        <v>5.253900403921043</v>
      </c>
      <c r="BA17" s="70">
        <f t="shared" si="47"/>
        <v>60.48658770625644</v>
      </c>
      <c r="BB17" s="88">
        <f t="shared" si="55"/>
        <v>54.094872050417855</v>
      </c>
      <c r="BC17" s="88">
        <f t="shared" si="48"/>
        <v>1.4288268146775058</v>
      </c>
      <c r="BD17" s="87">
        <v>36.14006805135355</v>
      </c>
      <c r="BE17" s="87">
        <v>0.8028791366959951</v>
      </c>
      <c r="BF17" s="70"/>
      <c r="BG17" s="87">
        <v>23.447972895247453</v>
      </c>
      <c r="BH17" s="87">
        <v>1.9552772401349536</v>
      </c>
      <c r="BI17" s="70">
        <f t="shared" si="51"/>
        <v>8.958273293704266</v>
      </c>
      <c r="BJ17" s="70">
        <f t="shared" si="52"/>
        <v>245.98644943525377</v>
      </c>
      <c r="BK17" s="87">
        <v>368.4636285675546</v>
      </c>
      <c r="BL17" s="87"/>
      <c r="BM17" s="87"/>
      <c r="BN17" s="89">
        <f t="shared" si="0"/>
        <v>0.2929787693026057</v>
      </c>
      <c r="BO17" s="89">
        <f t="shared" si="1"/>
        <v>0.7937770002902589</v>
      </c>
      <c r="BQ17" s="69">
        <v>121.75410118162678</v>
      </c>
      <c r="BR17" s="69">
        <v>121.75410118162678</v>
      </c>
      <c r="BS17" s="90">
        <v>37.32994914594633</v>
      </c>
      <c r="BT17" s="91">
        <v>1235.971894498654</v>
      </c>
      <c r="BU17" s="91">
        <v>1235.971894498654</v>
      </c>
      <c r="BV17" s="90">
        <v>176.59404467220054</v>
      </c>
      <c r="BW17" s="91">
        <v>130.35452073157083</v>
      </c>
      <c r="BX17" s="90">
        <v>75.1978796570365</v>
      </c>
      <c r="BY17" s="91">
        <v>140.29368962409924</v>
      </c>
      <c r="BZ17" s="90">
        <v>36.028924916025865</v>
      </c>
      <c r="CA17" s="91">
        <v>166.39216991981164</v>
      </c>
      <c r="CB17" s="90">
        <v>38.76782119871864</v>
      </c>
      <c r="CC17" s="92">
        <v>437.04038027548177</v>
      </c>
      <c r="CD17" s="92">
        <v>437.04038027548177</v>
      </c>
      <c r="CE17" s="92">
        <v>149.99462577178102</v>
      </c>
      <c r="CF17" s="69">
        <v>652.4459915161403</v>
      </c>
      <c r="CG17" s="90">
        <v>203.78340748327312</v>
      </c>
      <c r="CH17" s="71">
        <v>121.30624454633762</v>
      </c>
      <c r="CI17" s="71">
        <v>35.1764157155524</v>
      </c>
      <c r="CJ17" s="71">
        <v>50.88244691428372</v>
      </c>
      <c r="CK17" s="71">
        <v>176.66992233819167</v>
      </c>
      <c r="CM17" s="87">
        <f t="shared" si="2"/>
        <v>951.1997674256968</v>
      </c>
      <c r="CN17" s="88">
        <f t="shared" si="49"/>
        <v>60.50444231240051</v>
      </c>
      <c r="CO17" s="88">
        <f t="shared" si="43"/>
        <v>54.094872050417855</v>
      </c>
      <c r="CP17" s="68">
        <f t="shared" si="3"/>
        <v>750.0303941607349</v>
      </c>
      <c r="CQ17" s="68">
        <f t="shared" si="32"/>
        <v>0.7500303941607349</v>
      </c>
      <c r="CR17" s="68">
        <f t="shared" si="53"/>
        <v>245.98644943525377</v>
      </c>
      <c r="CS17" s="87">
        <f t="shared" si="4"/>
        <v>89.95611083575578</v>
      </c>
      <c r="CT17" s="68">
        <f t="shared" si="5"/>
        <v>118.28644854838772</v>
      </c>
      <c r="CU17" s="68">
        <f t="shared" si="6"/>
        <v>0.32102611866533504</v>
      </c>
      <c r="CV17" s="68">
        <f t="shared" si="7"/>
        <v>19.683365139322635</v>
      </c>
      <c r="CW17" s="68">
        <f t="shared" si="8"/>
        <v>54.00929814771648</v>
      </c>
      <c r="CX17" s="87">
        <f t="shared" si="9"/>
        <v>121.75410118162678</v>
      </c>
      <c r="CY17" s="87">
        <f t="shared" si="10"/>
        <v>437.04038027548177</v>
      </c>
      <c r="CZ17" s="21">
        <f t="shared" si="50"/>
        <v>0.4969396654831607</v>
      </c>
      <c r="DA17" s="89">
        <f t="shared" si="56"/>
        <v>0.44429609783510937</v>
      </c>
      <c r="DB17" s="87">
        <f t="shared" si="33"/>
        <v>2842.0411872003947</v>
      </c>
      <c r="DC17" s="87">
        <f t="shared" si="34"/>
        <v>2405.000806924913</v>
      </c>
      <c r="DD17" s="87"/>
      <c r="DE17" s="89">
        <f t="shared" si="11"/>
        <v>0.1280028915757313</v>
      </c>
      <c r="DF17" s="89">
        <f t="shared" si="12"/>
        <v>0.12753204957721107</v>
      </c>
      <c r="DG17" s="89">
        <f t="shared" si="13"/>
        <v>0.25219448467873756</v>
      </c>
      <c r="DH17" s="89">
        <f t="shared" si="44"/>
        <v>0.02069357524159073</v>
      </c>
      <c r="DI17" s="89">
        <f t="shared" si="45"/>
        <v>48.324177350956845</v>
      </c>
      <c r="DJ17" s="21">
        <f t="shared" si="46"/>
        <v>2.447769523096612</v>
      </c>
      <c r="DL17" s="70">
        <f t="shared" si="14"/>
        <v>33.46889452938202</v>
      </c>
      <c r="DM17" s="70">
        <f t="shared" si="15"/>
        <v>1.9033810028525662</v>
      </c>
      <c r="DN17" s="70">
        <f t="shared" si="35"/>
        <v>8.655273911690466</v>
      </c>
      <c r="DO17" s="70">
        <f t="shared" si="16"/>
        <v>26.39055329453428</v>
      </c>
      <c r="DP17" s="70">
        <f t="shared" si="17"/>
        <v>3.1651937783621187</v>
      </c>
      <c r="DQ17" s="70">
        <f t="shared" si="18"/>
        <v>4.162024430930503</v>
      </c>
      <c r="DR17" s="70">
        <f t="shared" si="19"/>
        <v>0.6925784618453084</v>
      </c>
      <c r="DS17" s="70">
        <f t="shared" si="20"/>
        <v>1.9003700013552351</v>
      </c>
      <c r="DT17" s="70">
        <f t="shared" si="21"/>
        <v>4.28403718179619</v>
      </c>
      <c r="DU17" s="70">
        <f t="shared" si="22"/>
        <v>15.377693407251304</v>
      </c>
      <c r="DV17" s="70"/>
      <c r="DW17" s="70">
        <f t="shared" si="23"/>
        <v>39.550912610375455</v>
      </c>
      <c r="DX17" s="70">
        <f t="shared" si="24"/>
        <v>2.515776383034267</v>
      </c>
      <c r="DY17" s="70">
        <f t="shared" si="25"/>
        <v>31.18628451188506</v>
      </c>
      <c r="DZ17" s="70">
        <f t="shared" si="26"/>
        <v>3.7403775739591394</v>
      </c>
      <c r="EA17" s="70">
        <f t="shared" si="27"/>
        <v>4.918353798792749</v>
      </c>
      <c r="EB17" s="70">
        <f t="shared" si="28"/>
        <v>0.8184348663271436</v>
      </c>
      <c r="EC17" s="70">
        <f t="shared" si="29"/>
        <v>2.245708109211571</v>
      </c>
      <c r="ED17" s="70">
        <f t="shared" si="30"/>
        <v>5.0625388910910285</v>
      </c>
      <c r="EE17" s="70"/>
      <c r="EG17" s="70">
        <f t="shared" si="36"/>
        <v>53.27218287421837</v>
      </c>
      <c r="EH17" s="70">
        <f t="shared" si="37"/>
        <v>32.0047193782122</v>
      </c>
      <c r="EI17" s="70">
        <f t="shared" si="38"/>
        <v>85.27690225243057</v>
      </c>
      <c r="EK17" s="70">
        <f t="shared" si="39"/>
        <v>26.39055329453428</v>
      </c>
      <c r="EL17" s="70">
        <f t="shared" si="54"/>
        <v>8.655273911690466</v>
      </c>
      <c r="EM17" s="70">
        <f t="shared" si="40"/>
        <v>19.661730589047494</v>
      </c>
      <c r="EN17" s="70">
        <f t="shared" si="41"/>
        <v>45.29244220472775</v>
      </c>
      <c r="EO17" s="70">
        <f t="shared" si="31"/>
        <v>99.99999999999999</v>
      </c>
      <c r="EP17" s="89"/>
      <c r="EQ17" s="89"/>
      <c r="ER17" s="89"/>
      <c r="ES17" s="14"/>
    </row>
    <row r="18" spans="1:149" ht="12.75">
      <c r="A18" s="72" t="s">
        <v>227</v>
      </c>
      <c r="B18" s="73">
        <v>1179.1666666666667</v>
      </c>
      <c r="C18" s="7">
        <v>900</v>
      </c>
      <c r="D18" s="7">
        <v>1450</v>
      </c>
      <c r="E18" s="13" t="s">
        <v>170</v>
      </c>
      <c r="F18" s="60">
        <v>3</v>
      </c>
      <c r="G18" s="4">
        <v>36483.600694444445</v>
      </c>
      <c r="H18" s="4">
        <v>36484.618055555555</v>
      </c>
      <c r="I18" s="6">
        <v>-3.8333333333333335</v>
      </c>
      <c r="J18" s="1">
        <v>-8.266666666666667</v>
      </c>
      <c r="K18" s="1">
        <v>-8.466666666666667</v>
      </c>
      <c r="L18" s="1">
        <v>-4.433333333333334</v>
      </c>
      <c r="M18" s="1">
        <v>1.1237209302325581</v>
      </c>
      <c r="N18" s="1">
        <v>1.1237209302325581</v>
      </c>
      <c r="O18" s="1">
        <v>0.13448134945857074</v>
      </c>
      <c r="P18" s="1">
        <v>0.12002312061619322</v>
      </c>
      <c r="Q18" s="139">
        <v>2665.5674999957637</v>
      </c>
      <c r="R18" s="5">
        <v>289.5698354227422</v>
      </c>
      <c r="S18" s="1">
        <v>7.354973507977337</v>
      </c>
      <c r="T18" s="1">
        <v>7.354973507977337</v>
      </c>
      <c r="U18" s="1">
        <v>4.488984543246455</v>
      </c>
      <c r="V18" s="1">
        <v>5.500860737765842</v>
      </c>
      <c r="W18" s="1">
        <v>5.482643443937425</v>
      </c>
      <c r="X18" s="1">
        <v>25.338592542925674</v>
      </c>
      <c r="Y18" s="1">
        <v>7.111098643995879</v>
      </c>
      <c r="Z18" s="1">
        <v>0</v>
      </c>
      <c r="AA18" s="1">
        <v>0</v>
      </c>
      <c r="AB18" s="1">
        <v>595.4511869588738</v>
      </c>
      <c r="AC18" s="1">
        <v>10.338088493310938</v>
      </c>
      <c r="AD18" s="1">
        <v>0</v>
      </c>
      <c r="AE18" s="1">
        <v>0</v>
      </c>
      <c r="AF18" s="1">
        <v>229.04866781437997</v>
      </c>
      <c r="AG18" s="1">
        <v>18.087060388313073</v>
      </c>
      <c r="AH18" s="1">
        <v>229.04866781437997</v>
      </c>
      <c r="AI18" s="1">
        <v>18.087060388313073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881.3328854065205</v>
      </c>
      <c r="AQ18" s="1">
        <v>10.462510754010365</v>
      </c>
      <c r="AR18" s="14">
        <f t="shared" si="42"/>
        <v>749.5124274937403</v>
      </c>
      <c r="AS18" s="1">
        <v>32.90692085347991</v>
      </c>
      <c r="AT18" s="1">
        <v>0.722445050820318</v>
      </c>
      <c r="AU18" s="5">
        <v>523.2097916437574</v>
      </c>
      <c r="AV18" s="5">
        <v>1.9534082062778453</v>
      </c>
      <c r="AW18" s="5">
        <v>116.04688320085549</v>
      </c>
      <c r="AX18" s="5">
        <v>22.832258871252247</v>
      </c>
      <c r="AY18" s="5">
        <v>39.130095055697446</v>
      </c>
      <c r="AZ18" s="5">
        <v>3.4176956376143965</v>
      </c>
      <c r="BA18" s="14">
        <f t="shared" si="47"/>
        <v>19.432785252638347</v>
      </c>
      <c r="BB18" s="26">
        <f t="shared" si="55"/>
        <v>19.432785252638347</v>
      </c>
      <c r="BC18" s="26">
        <f t="shared" si="48"/>
        <v>0.59053794000247</v>
      </c>
      <c r="BD18" s="5">
        <v>52.764405477894186</v>
      </c>
      <c r="BE18" s="5">
        <v>2.6817980303027897</v>
      </c>
      <c r="BF18" s="14"/>
      <c r="BG18" s="5">
        <v>9.824414318444143</v>
      </c>
      <c r="BH18" s="5">
        <v>3.360629892327329</v>
      </c>
      <c r="BI18" s="14"/>
      <c r="BJ18" s="14"/>
      <c r="BK18" s="5">
        <v>289.5698354227422</v>
      </c>
      <c r="BL18" s="5"/>
      <c r="BM18" s="5"/>
      <c r="BN18" s="21">
        <f t="shared" si="0"/>
        <v>0.632899442612108</v>
      </c>
      <c r="BO18" s="21">
        <f t="shared" si="1"/>
        <v>0.8403959291378025</v>
      </c>
      <c r="BQ18" s="29">
        <v>39.38474077033773</v>
      </c>
      <c r="BR18" s="29">
        <v>39.38474077033773</v>
      </c>
      <c r="BS18" s="30">
        <v>36.3057860212333</v>
      </c>
      <c r="BT18" s="65">
        <v>1108.0823651783235</v>
      </c>
      <c r="BU18" s="65">
        <v>1108.0823651783235</v>
      </c>
      <c r="BV18" s="30">
        <v>184.20134378114392</v>
      </c>
      <c r="BW18" s="65">
        <v>64.81685346800292</v>
      </c>
      <c r="BX18" s="30">
        <v>60.99206970316953</v>
      </c>
      <c r="BY18" s="65">
        <v>113.15317214054366</v>
      </c>
      <c r="BZ18" s="30">
        <v>35.26894482836904</v>
      </c>
      <c r="CA18" s="65">
        <v>81.88064017954852</v>
      </c>
      <c r="CB18" s="30">
        <v>30.0201256240211</v>
      </c>
      <c r="CC18" s="66">
        <v>259.85066578809506</v>
      </c>
      <c r="CD18" s="66">
        <v>259.85066578809506</v>
      </c>
      <c r="CE18" s="66">
        <v>126.28114015555965</v>
      </c>
      <c r="CF18" s="29">
        <v>354.91769208445317</v>
      </c>
      <c r="CG18" s="30">
        <v>187.4547344944722</v>
      </c>
      <c r="CH18" s="31">
        <v>60.18040388271039</v>
      </c>
      <c r="CI18" s="31">
        <v>34.763974354938796</v>
      </c>
      <c r="CJ18" s="31">
        <v>25.391460419079475</v>
      </c>
      <c r="CK18" s="31">
        <v>132.6571810902028</v>
      </c>
      <c r="CM18" s="5">
        <f t="shared" si="2"/>
        <v>749.5363388914581</v>
      </c>
      <c r="CN18" s="26">
        <f t="shared" si="49"/>
        <v>19.457406889892166</v>
      </c>
      <c r="CO18" s="26">
        <f t="shared" si="43"/>
        <v>19.432785252638347</v>
      </c>
      <c r="CP18" s="1">
        <f t="shared" si="3"/>
        <v>1354.105384842322</v>
      </c>
      <c r="CQ18" s="1">
        <f t="shared" si="32"/>
        <v>1.3541053848423221</v>
      </c>
      <c r="CR18" s="1"/>
      <c r="CS18" s="5">
        <f t="shared" si="4"/>
        <v>116.04688320085549</v>
      </c>
      <c r="CT18" s="1">
        <f t="shared" si="5"/>
        <v>229.04866781437997</v>
      </c>
      <c r="CU18" s="1">
        <f t="shared" si="6"/>
        <v>0.7909962979396402</v>
      </c>
      <c r="CV18" s="1">
        <f t="shared" si="7"/>
        <v>25.338592542925674</v>
      </c>
      <c r="CW18" s="1">
        <f t="shared" si="8"/>
        <v>45.762755099223085</v>
      </c>
      <c r="CX18" s="5">
        <f t="shared" si="9"/>
        <v>39.38474077033773</v>
      </c>
      <c r="CY18" s="5">
        <f t="shared" si="10"/>
        <v>259.85066578809506</v>
      </c>
      <c r="CZ18" s="21">
        <f t="shared" si="50"/>
        <v>0.4940341489957537</v>
      </c>
      <c r="DA18" s="21">
        <f t="shared" si="56"/>
        <v>0.49340899222761875</v>
      </c>
      <c r="DB18" s="5">
        <f t="shared" si="33"/>
        <v>2838.5068142022355</v>
      </c>
      <c r="DC18" s="5">
        <f t="shared" si="34"/>
        <v>2578.6561484141403</v>
      </c>
      <c r="DD18" s="5"/>
      <c r="DE18" s="21">
        <f t="shared" si="11"/>
        <v>0.05254714842025305</v>
      </c>
      <c r="DF18" s="21">
        <f t="shared" si="12"/>
        <v>0.08029273655134023</v>
      </c>
      <c r="DG18" s="21">
        <f t="shared" si="13"/>
        <v>0.4128795518935752</v>
      </c>
      <c r="DH18" s="21">
        <f t="shared" si="44"/>
        <v>0.03380676772452488</v>
      </c>
      <c r="DI18" s="21">
        <f t="shared" si="45"/>
        <v>29.57987608127816</v>
      </c>
      <c r="DJ18" s="21">
        <f t="shared" si="46"/>
        <v>7.743395110412601</v>
      </c>
      <c r="DL18" s="14">
        <f t="shared" si="14"/>
        <v>26.406008086407073</v>
      </c>
      <c r="DM18" s="14">
        <f t="shared" si="15"/>
        <v>0.6846129505628805</v>
      </c>
      <c r="DN18" s="14">
        <f t="shared" si="35"/>
        <v>0</v>
      </c>
      <c r="DO18" s="14">
        <f t="shared" si="16"/>
        <v>47.704848833448885</v>
      </c>
      <c r="DP18" s="14">
        <f t="shared" si="17"/>
        <v>4.088307367106693</v>
      </c>
      <c r="DQ18" s="14">
        <f t="shared" si="18"/>
        <v>8.069336549355942</v>
      </c>
      <c r="DR18" s="14">
        <f t="shared" si="19"/>
        <v>0.8926733033067284</v>
      </c>
      <c r="DS18" s="14">
        <f t="shared" si="20"/>
        <v>1.612212268445258</v>
      </c>
      <c r="DT18" s="14">
        <f t="shared" si="21"/>
        <v>1.387516160725048</v>
      </c>
      <c r="DU18" s="14">
        <f t="shared" si="22"/>
        <v>9.154484480641498</v>
      </c>
      <c r="DV18" s="14"/>
      <c r="DW18" s="14">
        <f t="shared" si="23"/>
        <v>29.066936254855808</v>
      </c>
      <c r="DX18" s="14">
        <f t="shared" si="24"/>
        <v>0.7545560854190803</v>
      </c>
      <c r="DY18" s="14">
        <f t="shared" si="25"/>
        <v>52.51205693613279</v>
      </c>
      <c r="DZ18" s="14">
        <f t="shared" si="26"/>
        <v>4.5002852851173545</v>
      </c>
      <c r="EA18" s="14">
        <f t="shared" si="27"/>
        <v>8.88248198408476</v>
      </c>
      <c r="EB18" s="14">
        <f t="shared" si="28"/>
        <v>0.9826278140460399</v>
      </c>
      <c r="EC18" s="14">
        <f t="shared" si="29"/>
        <v>1.7746745771966121</v>
      </c>
      <c r="ED18" s="14">
        <f t="shared" si="30"/>
        <v>1.5273358875148644</v>
      </c>
      <c r="EE18" s="14"/>
      <c r="EG18" s="14">
        <f t="shared" si="36"/>
        <v>43.97703941157279</v>
      </c>
      <c r="EH18" s="14">
        <f t="shared" si="37"/>
        <v>53.49468475017883</v>
      </c>
      <c r="EI18" s="14">
        <f t="shared" si="38"/>
        <v>97.47172416175161</v>
      </c>
      <c r="EK18" s="14">
        <f t="shared" si="39"/>
        <v>47.704848833448885</v>
      </c>
      <c r="EL18" s="14"/>
      <c r="EM18" s="14">
        <f t="shared" si="40"/>
        <v>10.542000641366545</v>
      </c>
      <c r="EN18" s="14">
        <f t="shared" si="41"/>
        <v>41.75315052518458</v>
      </c>
      <c r="EO18" s="14">
        <f t="shared" si="31"/>
        <v>100.00000000000001</v>
      </c>
      <c r="EP18" s="21"/>
      <c r="EQ18" s="21"/>
      <c r="ER18" s="21"/>
      <c r="ES18" s="14"/>
    </row>
    <row r="19" spans="1:149" ht="12.75">
      <c r="A19" s="72" t="s">
        <v>228</v>
      </c>
      <c r="B19" s="73">
        <v>1508.3333333333333</v>
      </c>
      <c r="C19" s="7">
        <v>1400</v>
      </c>
      <c r="D19" s="7">
        <v>1625</v>
      </c>
      <c r="E19" s="13" t="s">
        <v>171</v>
      </c>
      <c r="F19" s="60">
        <v>3</v>
      </c>
      <c r="G19" s="4">
        <v>36484.62152777778</v>
      </c>
      <c r="H19" s="4">
        <v>36485.59027777778</v>
      </c>
      <c r="I19" s="6">
        <v>-8.475</v>
      </c>
      <c r="J19" s="1">
        <v>-4.416666666666667</v>
      </c>
      <c r="K19" s="1">
        <v>-12.95</v>
      </c>
      <c r="L19" s="1">
        <v>-0.65</v>
      </c>
      <c r="M19" s="1">
        <v>1.41</v>
      </c>
      <c r="N19" s="1">
        <v>1.26551724137931</v>
      </c>
      <c r="O19" s="1">
        <v>0.08497876669006159</v>
      </c>
      <c r="P19" s="1">
        <v>0.07533404668632351</v>
      </c>
      <c r="Q19" s="139">
        <v>2896.2525</v>
      </c>
      <c r="R19" s="5">
        <v>165.47715319427502</v>
      </c>
      <c r="S19" s="1">
        <v>4.184073983245255</v>
      </c>
      <c r="T19" s="1">
        <v>4.184073983245255</v>
      </c>
      <c r="U19" s="1">
        <v>1.2964424707579163</v>
      </c>
      <c r="V19" s="1">
        <v>2.6182186810236296</v>
      </c>
      <c r="W19" s="1">
        <v>0.6802148866703565</v>
      </c>
      <c r="X19" s="1">
        <v>20.204233368059214</v>
      </c>
      <c r="Y19" s="1">
        <v>1.4448330781179104</v>
      </c>
      <c r="Z19" s="1">
        <v>0</v>
      </c>
      <c r="AA19" s="1">
        <v>0</v>
      </c>
      <c r="AB19" s="1">
        <v>547.9965568241873</v>
      </c>
      <c r="AC19" s="1">
        <v>49.5277260652433</v>
      </c>
      <c r="AD19" s="1">
        <v>0</v>
      </c>
      <c r="AE19" s="1">
        <v>0</v>
      </c>
      <c r="AF19" s="1">
        <v>179.2376638198373</v>
      </c>
      <c r="AG19" s="1">
        <v>7.798325100761634</v>
      </c>
      <c r="AH19" s="1">
        <v>179.2376638198373</v>
      </c>
      <c r="AI19" s="1">
        <v>7.798325100761634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784.8107775241743</v>
      </c>
      <c r="AQ19" s="1">
        <v>12.892448592184186</v>
      </c>
      <c r="AR19" s="14">
        <f t="shared" si="42"/>
        <v>648.81002092356</v>
      </c>
      <c r="AS19" s="1">
        <v>22.68151412676176</v>
      </c>
      <c r="AT19" s="1">
        <v>0.031203136986957588</v>
      </c>
      <c r="AU19" s="5">
        <v>539.8018536051682</v>
      </c>
      <c r="AV19" s="5">
        <v>26.92891234741967</v>
      </c>
      <c r="AW19" s="5">
        <v>50.23016767961762</v>
      </c>
      <c r="AX19" s="5">
        <v>24.023971190573498</v>
      </c>
      <c r="AY19" s="5">
        <v>22.61927981486806</v>
      </c>
      <c r="AZ19" s="5">
        <v>4.4811027855051515</v>
      </c>
      <c r="BA19" s="14">
        <f t="shared" si="47"/>
        <v>2.297327679144086</v>
      </c>
      <c r="BB19" s="26">
        <f t="shared" si="55"/>
        <v>2.297327679144086</v>
      </c>
      <c r="BC19" s="26">
        <f t="shared" si="48"/>
        <v>0.1012863456251135</v>
      </c>
      <c r="BD19" s="5">
        <v>56.81680078461187</v>
      </c>
      <c r="BE19" s="5">
        <v>2.7409941203514467</v>
      </c>
      <c r="BF19" s="14"/>
      <c r="BG19" s="5">
        <v>20.481190584939068</v>
      </c>
      <c r="BH19" s="5">
        <v>2.0252302643494313</v>
      </c>
      <c r="BI19" s="14"/>
      <c r="BJ19" s="14"/>
      <c r="BK19" s="5">
        <v>165.47715319427502</v>
      </c>
      <c r="BL19" s="5"/>
      <c r="BM19" s="5"/>
      <c r="BN19" s="21">
        <f t="shared" si="0"/>
        <v>0.5645570942162302</v>
      </c>
      <c r="BO19" s="21">
        <f t="shared" si="1"/>
        <v>0.8771243312885736</v>
      </c>
      <c r="BQ19" s="29">
        <v>26.036221949883064</v>
      </c>
      <c r="BR19" s="29">
        <v>26.036221949883064</v>
      </c>
      <c r="BS19" s="30">
        <v>32.706867339777865</v>
      </c>
      <c r="BT19" s="65">
        <v>967.0093842592955</v>
      </c>
      <c r="BU19" s="65">
        <v>967.0093842592955</v>
      </c>
      <c r="BV19" s="30">
        <v>155.53117462657232</v>
      </c>
      <c r="BW19" s="65">
        <v>77.13176748147119</v>
      </c>
      <c r="BX19" s="30">
        <v>52.7235583044409</v>
      </c>
      <c r="BY19" s="65">
        <v>104.81852910658145</v>
      </c>
      <c r="BZ19" s="30">
        <v>22.370740020602934</v>
      </c>
      <c r="CA19" s="65">
        <v>92.05685851864958</v>
      </c>
      <c r="CB19" s="30">
        <v>22.21531905918185</v>
      </c>
      <c r="CC19" s="66">
        <v>274.0071551067022</v>
      </c>
      <c r="CD19" s="66">
        <v>274.0071551067022</v>
      </c>
      <c r="CE19" s="66">
        <v>97.30961738422569</v>
      </c>
      <c r="CF19" s="29">
        <v>358.7591960080215</v>
      </c>
      <c r="CG19" s="30">
        <v>132.47166701125042</v>
      </c>
      <c r="CH19" s="31">
        <v>38.027998093802566</v>
      </c>
      <c r="CI19" s="31">
        <v>17.713708499380072</v>
      </c>
      <c r="CJ19" s="31">
        <v>3.9169689635150595</v>
      </c>
      <c r="CK19" s="31">
        <v>72.6841989234539</v>
      </c>
      <c r="CM19" s="5">
        <f t="shared" si="2"/>
        <v>648.8346906010324</v>
      </c>
      <c r="CN19" s="26">
        <f t="shared" si="49"/>
        <v>2.3227301193137393</v>
      </c>
      <c r="CO19" s="26">
        <f t="shared" si="43"/>
        <v>2.297327679144086</v>
      </c>
      <c r="CP19" s="1">
        <f t="shared" si="3"/>
        <v>1330.7092445516812</v>
      </c>
      <c r="CQ19" s="1">
        <f t="shared" si="32"/>
        <v>1.3307092445516813</v>
      </c>
      <c r="CR19" s="1"/>
      <c r="CS19" s="5">
        <f t="shared" si="4"/>
        <v>50.23016767961762</v>
      </c>
      <c r="CT19" s="1">
        <f t="shared" si="5"/>
        <v>179.2376638198373</v>
      </c>
      <c r="CU19" s="1">
        <f t="shared" si="6"/>
        <v>1.0831565588356904</v>
      </c>
      <c r="CV19" s="1">
        <f t="shared" si="7"/>
        <v>20.204233368059214</v>
      </c>
      <c r="CW19" s="1">
        <f t="shared" si="8"/>
        <v>29.483806791030645</v>
      </c>
      <c r="CX19" s="5">
        <f t="shared" si="9"/>
        <v>26.036221949883064</v>
      </c>
      <c r="CY19" s="5">
        <f t="shared" si="10"/>
        <v>274.0071551067022</v>
      </c>
      <c r="CZ19" s="21">
        <f t="shared" si="50"/>
        <v>0.08921148866316879</v>
      </c>
      <c r="DA19" s="21">
        <f t="shared" si="56"/>
        <v>0.08823583097294974</v>
      </c>
      <c r="DB19" s="5">
        <f t="shared" si="33"/>
        <v>2561.0405115469875</v>
      </c>
      <c r="DC19" s="5">
        <f t="shared" si="34"/>
        <v>2287.0333564402854</v>
      </c>
      <c r="DD19" s="5"/>
      <c r="DE19" s="21">
        <f t="shared" si="11"/>
        <v>0.04012919207508747</v>
      </c>
      <c r="DF19" s="21">
        <f t="shared" si="12"/>
        <v>0.058611915456655464</v>
      </c>
      <c r="DG19" s="21">
        <f t="shared" si="13"/>
        <v>0.20645043925438186</v>
      </c>
      <c r="DH19" s="21">
        <f t="shared" si="44"/>
        <v>0.031140445918666826</v>
      </c>
      <c r="DI19" s="21">
        <f t="shared" si="45"/>
        <v>32.1125780475918</v>
      </c>
      <c r="DJ19" s="21">
        <f t="shared" si="46"/>
        <v>5.581540776769829</v>
      </c>
      <c r="DL19" s="14">
        <f t="shared" si="14"/>
        <v>25.3348077734665</v>
      </c>
      <c r="DM19" s="14">
        <f t="shared" si="15"/>
        <v>0.0897029027376218</v>
      </c>
      <c r="DN19" s="14">
        <f t="shared" si="35"/>
        <v>0</v>
      </c>
      <c r="DO19" s="14">
        <f t="shared" si="16"/>
        <v>51.959710850019746</v>
      </c>
      <c r="DP19" s="14">
        <f t="shared" si="17"/>
        <v>1.961318747327283</v>
      </c>
      <c r="DQ19" s="14">
        <f t="shared" si="18"/>
        <v>6.9986266523979905</v>
      </c>
      <c r="DR19" s="14">
        <f t="shared" si="19"/>
        <v>0.7889072147419846</v>
      </c>
      <c r="DS19" s="14">
        <f t="shared" si="20"/>
        <v>1.1512432801471404</v>
      </c>
      <c r="DT19" s="14">
        <f t="shared" si="21"/>
        <v>1.0166267121700459</v>
      </c>
      <c r="DU19" s="14">
        <f t="shared" si="22"/>
        <v>10.6990558669917</v>
      </c>
      <c r="DV19" s="14"/>
      <c r="DW19" s="14">
        <f t="shared" si="23"/>
        <v>28.370145488867234</v>
      </c>
      <c r="DX19" s="14">
        <f t="shared" si="24"/>
        <v>0.10156083262943812</v>
      </c>
      <c r="DY19" s="14">
        <f t="shared" si="25"/>
        <v>58.184951295284094</v>
      </c>
      <c r="DZ19" s="14">
        <f t="shared" si="26"/>
        <v>2.1963023642908173</v>
      </c>
      <c r="EA19" s="14">
        <f t="shared" si="27"/>
        <v>7.837125038649047</v>
      </c>
      <c r="EB19" s="14">
        <f t="shared" si="28"/>
        <v>0.8834253908524813</v>
      </c>
      <c r="EC19" s="14">
        <f t="shared" si="29"/>
        <v>1.289172574068684</v>
      </c>
      <c r="ED19" s="14">
        <f t="shared" si="30"/>
        <v>1.1384277311288473</v>
      </c>
      <c r="EE19" s="14"/>
      <c r="EG19" s="14">
        <f t="shared" si="36"/>
        <v>39.54200062293595</v>
      </c>
      <c r="EH19" s="14">
        <f t="shared" si="37"/>
        <v>59.068376686136574</v>
      </c>
      <c r="EI19" s="14">
        <f t="shared" si="38"/>
        <v>98.61037730907253</v>
      </c>
      <c r="EK19" s="14">
        <f t="shared" si="39"/>
        <v>51.959710850019746</v>
      </c>
      <c r="EL19" s="14"/>
      <c r="EM19" s="14">
        <f t="shared" si="40"/>
        <v>11.715682579161745</v>
      </c>
      <c r="EN19" s="14">
        <f t="shared" si="41"/>
        <v>36.32460657081852</v>
      </c>
      <c r="EO19" s="14">
        <f t="shared" si="31"/>
        <v>100</v>
      </c>
      <c r="EP19" s="21"/>
      <c r="EQ19" s="21"/>
      <c r="ER19" s="21"/>
      <c r="ES19" s="14"/>
    </row>
    <row r="20" spans="1:149" ht="12.75">
      <c r="A20" s="72" t="s">
        <v>229</v>
      </c>
      <c r="B20" s="73">
        <v>1123.3333333333333</v>
      </c>
      <c r="C20" s="7">
        <v>880</v>
      </c>
      <c r="D20" s="7">
        <v>1400</v>
      </c>
      <c r="E20" s="13" t="s">
        <v>172</v>
      </c>
      <c r="F20" s="60">
        <v>3</v>
      </c>
      <c r="G20" s="4">
        <v>36485.59375</v>
      </c>
      <c r="H20" s="4">
        <v>36486.604166666664</v>
      </c>
      <c r="I20" s="1">
        <v>-12.966666666666667</v>
      </c>
      <c r="J20" s="1">
        <v>-0.6333333333333333</v>
      </c>
      <c r="K20" s="1">
        <v>-17.633333333333333</v>
      </c>
      <c r="L20" s="1">
        <v>3.35</v>
      </c>
      <c r="M20" s="1">
        <v>1.3497916666666672</v>
      </c>
      <c r="N20" s="1">
        <v>1.3225</v>
      </c>
      <c r="O20" s="1">
        <v>0.03016038289243438</v>
      </c>
      <c r="P20" s="1">
        <v>0.03125852998600301</v>
      </c>
      <c r="Q20" s="139">
        <v>3074.172499992621</v>
      </c>
      <c r="R20" s="5">
        <v>72.31675387226201</v>
      </c>
      <c r="S20" s="1">
        <v>4.618844813663186</v>
      </c>
      <c r="T20" s="1">
        <v>4.618844813663186</v>
      </c>
      <c r="U20" s="1">
        <v>1.4715786536534425</v>
      </c>
      <c r="V20" s="1">
        <v>1.7897601474012006</v>
      </c>
      <c r="W20" s="1">
        <v>0.5231204795328026</v>
      </c>
      <c r="X20" s="1">
        <v>27.540635854815143</v>
      </c>
      <c r="Y20" s="1">
        <v>7.203388325371112</v>
      </c>
      <c r="Z20" s="1">
        <v>0</v>
      </c>
      <c r="AA20" s="1">
        <v>0</v>
      </c>
      <c r="AB20" s="1">
        <v>650.9921541518814</v>
      </c>
      <c r="AC20" s="1">
        <v>99.54506946778123</v>
      </c>
      <c r="AD20" s="1">
        <v>0</v>
      </c>
      <c r="AE20" s="1">
        <v>0</v>
      </c>
      <c r="AF20" s="1">
        <v>76.64364332876845</v>
      </c>
      <c r="AG20" s="1">
        <v>76.64364332876845</v>
      </c>
      <c r="AH20" s="1">
        <v>76.64364332876845</v>
      </c>
      <c r="AI20" s="1">
        <v>76.64364332876845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733.7504172155758</v>
      </c>
      <c r="AQ20" s="1">
        <v>39.860428543402215</v>
      </c>
      <c r="AR20" s="14">
        <f t="shared" si="42"/>
        <v>598.183807777984</v>
      </c>
      <c r="AS20" s="1">
        <v>15.044902444769798</v>
      </c>
      <c r="AT20" s="1">
        <v>3.140719338824402</v>
      </c>
      <c r="AU20" s="5">
        <v>538.0786761082576</v>
      </c>
      <c r="AV20" s="5">
        <v>66.8546352581059</v>
      </c>
      <c r="AW20" s="5">
        <v>50.77184398979245</v>
      </c>
      <c r="AX20" s="5">
        <v>22.158250245103833</v>
      </c>
      <c r="AY20" s="5">
        <v>13.117531869445013</v>
      </c>
      <c r="AZ20" s="5">
        <v>7.396305363583208</v>
      </c>
      <c r="BA20" s="14"/>
      <c r="BB20" s="26"/>
      <c r="BC20" s="26"/>
      <c r="BD20" s="5">
        <v>56.79794787458251</v>
      </c>
      <c r="BE20" s="5">
        <v>13.013848275694277</v>
      </c>
      <c r="BF20" s="14"/>
      <c r="BG20" s="5">
        <v>19.69928668323944</v>
      </c>
      <c r="BH20" s="5">
        <v>5.875153629353765</v>
      </c>
      <c r="BI20" s="14"/>
      <c r="BJ20" s="14"/>
      <c r="BK20" s="5">
        <v>72.31675387226201</v>
      </c>
      <c r="BL20" s="5"/>
      <c r="BM20" s="5"/>
      <c r="BN20" s="21">
        <f t="shared" si="0"/>
        <v>0.6728130149546873</v>
      </c>
      <c r="BO20" s="21">
        <f t="shared" si="1"/>
        <v>0.8796413113998961</v>
      </c>
      <c r="BQ20" s="29">
        <v>-0.2460601322496091</v>
      </c>
      <c r="BR20" s="29">
        <v>-0.2460601322496091</v>
      </c>
      <c r="BS20" s="30">
        <v>29.473662088540625</v>
      </c>
      <c r="BT20" s="65">
        <v>917.22952144397</v>
      </c>
      <c r="BU20" s="65">
        <v>917.22952144397</v>
      </c>
      <c r="BV20" s="30">
        <v>84.976847712638</v>
      </c>
      <c r="BW20" s="65">
        <v>83.99521599072578</v>
      </c>
      <c r="BX20" s="30">
        <v>73.91037777512273</v>
      </c>
      <c r="BY20" s="65">
        <v>90.78175506414462</v>
      </c>
      <c r="BZ20" s="30">
        <v>27.449000144638205</v>
      </c>
      <c r="CA20" s="65">
        <v>75.63210573100346</v>
      </c>
      <c r="CB20" s="30">
        <v>34.590110470378924</v>
      </c>
      <c r="CC20" s="66">
        <v>250.40907678587385</v>
      </c>
      <c r="CD20" s="66">
        <v>250.40907678587385</v>
      </c>
      <c r="CE20" s="66">
        <v>135.94948839013986</v>
      </c>
      <c r="CF20" s="29">
        <v>307.59216967142316</v>
      </c>
      <c r="CG20" s="30">
        <v>172.12953162232247</v>
      </c>
      <c r="CH20" s="31">
        <v>13.544564167635126</v>
      </c>
      <c r="CI20" s="31">
        <v>9.696623621798626</v>
      </c>
      <c r="CJ20" s="31">
        <v>0.3452516248423376</v>
      </c>
      <c r="CK20" s="31">
        <v>35.85223401256109</v>
      </c>
      <c r="CM20" s="5">
        <f t="shared" si="2"/>
        <v>598.2083987039057</v>
      </c>
      <c r="CN20" s="26"/>
      <c r="CO20" s="26"/>
      <c r="CP20" s="1">
        <f t="shared" si="3"/>
        <v>1431.2062345088548</v>
      </c>
      <c r="CQ20" s="1">
        <f t="shared" si="32"/>
        <v>1.4312062345088548</v>
      </c>
      <c r="CR20" s="1"/>
      <c r="CS20" s="5">
        <f t="shared" si="4"/>
        <v>50.77184398979245</v>
      </c>
      <c r="CT20" s="1">
        <f t="shared" si="5"/>
        <v>76.64364332876845</v>
      </c>
      <c r="CU20" s="1">
        <f t="shared" si="6"/>
        <v>1.0598324623938364</v>
      </c>
      <c r="CV20" s="1">
        <f t="shared" si="7"/>
        <v>27.540635854815143</v>
      </c>
      <c r="CW20" s="1">
        <f t="shared" si="8"/>
        <v>21.453507405834184</v>
      </c>
      <c r="CX20" s="5">
        <f t="shared" si="9"/>
        <v>-0.2460601322496091</v>
      </c>
      <c r="CY20" s="5">
        <f t="shared" si="10"/>
        <v>250.40907678587385</v>
      </c>
      <c r="CZ20" s="21">
        <f t="shared" si="50"/>
        <v>0</v>
      </c>
      <c r="DA20" s="21">
        <f t="shared" si="56"/>
        <v>0</v>
      </c>
      <c r="DB20" s="5">
        <f t="shared" si="33"/>
        <v>2455.987280445595</v>
      </c>
      <c r="DC20" s="5">
        <f t="shared" si="34"/>
        <v>2205.578203659721</v>
      </c>
      <c r="DD20" s="5"/>
      <c r="DE20" s="21">
        <v>0</v>
      </c>
      <c r="DF20" s="21">
        <f t="shared" si="12"/>
        <v>0.022642813114497062</v>
      </c>
      <c r="DG20" s="21">
        <f t="shared" si="13"/>
        <v>0.22633776142437886</v>
      </c>
      <c r="DH20" s="21">
        <f t="shared" si="44"/>
        <v>0.04604042352319381</v>
      </c>
      <c r="DI20" s="21">
        <f t="shared" si="45"/>
        <v>21.720043463462698</v>
      </c>
      <c r="DJ20" s="21">
        <f t="shared" si="46"/>
        <v>3.528705799217107</v>
      </c>
      <c r="DL20" s="14">
        <f t="shared" si="14"/>
        <v>24.35714563616842</v>
      </c>
      <c r="DM20" s="14">
        <f t="shared" si="15"/>
        <v>0</v>
      </c>
      <c r="DN20" s="14">
        <f t="shared" si="35"/>
        <v>0</v>
      </c>
      <c r="DO20" s="14">
        <f t="shared" si="16"/>
        <v>58.27417128354134</v>
      </c>
      <c r="DP20" s="14">
        <f t="shared" si="17"/>
        <v>2.067268197764477</v>
      </c>
      <c r="DQ20" s="14">
        <f t="shared" si="18"/>
        <v>3.120685678586366</v>
      </c>
      <c r="DR20" s="14">
        <f t="shared" si="19"/>
        <v>1.121367202268995</v>
      </c>
      <c r="DS20" s="14">
        <f t="shared" si="20"/>
        <v>0.8735186691171231</v>
      </c>
      <c r="DT20" s="14"/>
      <c r="DU20" s="14">
        <f t="shared" si="22"/>
        <v>10.195862119466742</v>
      </c>
      <c r="DV20" s="14"/>
      <c r="DW20" s="14">
        <f t="shared" si="23"/>
        <v>27.12252042168793</v>
      </c>
      <c r="DX20" s="14">
        <f t="shared" si="24"/>
        <v>0</v>
      </c>
      <c r="DY20" s="14">
        <f t="shared" si="25"/>
        <v>64.89029643719051</v>
      </c>
      <c r="DZ20" s="14">
        <f t="shared" si="26"/>
        <v>2.3019743260767904</v>
      </c>
      <c r="EA20" s="14">
        <f t="shared" si="27"/>
        <v>3.4749909661599605</v>
      </c>
      <c r="EB20" s="14">
        <f t="shared" si="28"/>
        <v>1.2486809948120137</v>
      </c>
      <c r="EC20" s="14">
        <f t="shared" si="29"/>
        <v>0.9726931183050471</v>
      </c>
      <c r="ED20" s="14">
        <f t="shared" si="30"/>
        <v>-0.011156264232268932</v>
      </c>
      <c r="EE20" s="14"/>
      <c r="EG20" s="14">
        <f t="shared" si="36"/>
        <v>32.888329449692414</v>
      </c>
      <c r="EH20" s="14">
        <f t="shared" si="37"/>
        <v>66.13897743200253</v>
      </c>
      <c r="EI20" s="14">
        <f t="shared" si="38"/>
        <v>99.02730688169495</v>
      </c>
      <c r="EK20" s="14">
        <f t="shared" si="39"/>
        <v>58.27417128354134</v>
      </c>
      <c r="EL20" s="14"/>
      <c r="EM20" s="14">
        <f t="shared" si="40"/>
        <v>10.195862119466742</v>
      </c>
      <c r="EN20" s="14">
        <f t="shared" si="41"/>
        <v>31.53998538390538</v>
      </c>
      <c r="EO20" s="14">
        <f t="shared" si="31"/>
        <v>100.01001878691346</v>
      </c>
      <c r="EP20" s="21"/>
      <c r="EQ20" s="21"/>
      <c r="ER20" s="21"/>
      <c r="ES20" s="14"/>
    </row>
    <row r="21" spans="1:149" ht="12.75">
      <c r="A21" s="72" t="s">
        <v>230</v>
      </c>
      <c r="B21" s="7">
        <v>730</v>
      </c>
      <c r="C21" s="7">
        <v>630</v>
      </c>
      <c r="D21" s="7">
        <v>880</v>
      </c>
      <c r="E21" s="13" t="s">
        <v>173</v>
      </c>
      <c r="F21" s="60">
        <v>3</v>
      </c>
      <c r="G21" s="4">
        <v>36486.60763888889</v>
      </c>
      <c r="H21" s="4">
        <v>36487.59722222222</v>
      </c>
      <c r="I21" s="1">
        <v>-17.666666666666668</v>
      </c>
      <c r="J21" s="1">
        <v>3.4</v>
      </c>
      <c r="K21" s="1">
        <v>-22.275</v>
      </c>
      <c r="L21" s="1">
        <v>7.433333333333334</v>
      </c>
      <c r="M21" s="1">
        <v>1.2848936170212768</v>
      </c>
      <c r="N21" s="1">
        <v>1.2848936170212768</v>
      </c>
      <c r="O21" s="1">
        <v>0.019834694779732612</v>
      </c>
      <c r="P21" s="1">
        <v>0.019834694779732612</v>
      </c>
      <c r="Q21" s="139">
        <v>2958.537499985498</v>
      </c>
      <c r="R21" s="5">
        <v>83.3230132145586</v>
      </c>
      <c r="S21" s="1">
        <v>6.999083099046118</v>
      </c>
      <c r="T21" s="1">
        <v>6.999083099046118</v>
      </c>
      <c r="U21" s="1">
        <v>0.0633573005978346</v>
      </c>
      <c r="V21" s="1">
        <v>2.153268144218382</v>
      </c>
      <c r="W21" s="1">
        <v>0.14150101924242986</v>
      </c>
      <c r="X21" s="1">
        <v>47.898907399088195</v>
      </c>
      <c r="Y21" s="1">
        <v>5.191203591420423</v>
      </c>
      <c r="Z21" s="1">
        <v>0</v>
      </c>
      <c r="AA21" s="1">
        <v>0</v>
      </c>
      <c r="AB21" s="1">
        <v>927.6024474831466</v>
      </c>
      <c r="AC21" s="1">
        <v>3.9544453474159784</v>
      </c>
      <c r="AD21" s="1">
        <v>0</v>
      </c>
      <c r="AE21" s="1">
        <v>0</v>
      </c>
      <c r="AF21" s="1">
        <v>57.54841759948847</v>
      </c>
      <c r="AG21" s="1">
        <v>57.54841759948847</v>
      </c>
      <c r="AH21" s="1">
        <v>57.54841759948847</v>
      </c>
      <c r="AI21" s="1">
        <v>57.54841759948847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916.9589820794264</v>
      </c>
      <c r="AQ21" s="1">
        <v>6.264434387623914</v>
      </c>
      <c r="AR21" s="14">
        <f t="shared" si="42"/>
        <v>739.1915466399473</v>
      </c>
      <c r="AS21" s="1">
        <v>17.393729153003797</v>
      </c>
      <c r="AT21" s="1">
        <v>0.9279366734957251</v>
      </c>
      <c r="AU21" s="5">
        <v>705.5783626459207</v>
      </c>
      <c r="AV21" s="5">
        <v>12.317313260763015</v>
      </c>
      <c r="AW21" s="5">
        <v>43.786970355664444</v>
      </c>
      <c r="AX21" s="5">
        <v>18.247642005405833</v>
      </c>
      <c r="AY21" s="5">
        <v>15.780910303296002</v>
      </c>
      <c r="AZ21" s="5">
        <v>6.329845051479375</v>
      </c>
      <c r="BA21" s="14"/>
      <c r="BB21" s="26"/>
      <c r="BC21" s="26"/>
      <c r="BD21" s="5">
        <v>76.45659488064766</v>
      </c>
      <c r="BE21" s="5">
        <v>2.888294148349166</v>
      </c>
      <c r="BF21" s="14"/>
      <c r="BG21" s="5">
        <v>13.407767074838267</v>
      </c>
      <c r="BH21" s="5">
        <v>6.468806376484704</v>
      </c>
      <c r="BI21" s="14"/>
      <c r="BJ21" s="14"/>
      <c r="BK21" s="5">
        <v>83.3230132145586</v>
      </c>
      <c r="BL21" s="5"/>
      <c r="BM21" s="5"/>
      <c r="BN21" s="21">
        <f t="shared" si="0"/>
        <v>0.7311071691535898</v>
      </c>
      <c r="BO21" s="21">
        <f t="shared" si="1"/>
        <v>0.9030014586654749</v>
      </c>
      <c r="BQ21" s="29">
        <v>4.520565372542771</v>
      </c>
      <c r="BR21" s="29">
        <v>4.520565372542771</v>
      </c>
      <c r="BS21" s="30">
        <v>30.84645863047108</v>
      </c>
      <c r="BT21" s="65">
        <v>816.7019781281418</v>
      </c>
      <c r="BU21" s="65">
        <v>816.7019781281418</v>
      </c>
      <c r="BV21" s="30">
        <v>109.5783099757889</v>
      </c>
      <c r="BW21" s="65">
        <v>38.64773635966761</v>
      </c>
      <c r="BX21" s="30">
        <v>65.2684680240783</v>
      </c>
      <c r="BY21" s="65">
        <v>88.19856300639702</v>
      </c>
      <c r="BZ21" s="30">
        <v>23.269913626435272</v>
      </c>
      <c r="CA21" s="65">
        <v>49.845536930158254</v>
      </c>
      <c r="CB21" s="30">
        <v>22.263428167198356</v>
      </c>
      <c r="CC21" s="66">
        <v>176.6918362962229</v>
      </c>
      <c r="CD21" s="66">
        <v>176.6918362962229</v>
      </c>
      <c r="CE21" s="66">
        <v>110.80180981771193</v>
      </c>
      <c r="CF21" s="29">
        <v>219.0749380179563</v>
      </c>
      <c r="CG21" s="30">
        <v>150.10994820056723</v>
      </c>
      <c r="CH21" s="31">
        <v>8.876025913930341</v>
      </c>
      <c r="CI21" s="31">
        <v>5.139321822768697</v>
      </c>
      <c r="CJ21" s="31">
        <v>0.2788127678517268</v>
      </c>
      <c r="CK21" s="31">
        <v>20.754179530267848</v>
      </c>
      <c r="CM21" s="5">
        <f t="shared" si="2"/>
        <v>739.2237925289189</v>
      </c>
      <c r="CN21" s="26"/>
      <c r="CO21" s="26"/>
      <c r="CP21" s="1">
        <f t="shared" si="3"/>
        <v>1950.6910733197317</v>
      </c>
      <c r="CQ21" s="1">
        <f t="shared" si="32"/>
        <v>1.9506910733197318</v>
      </c>
      <c r="CR21" s="1"/>
      <c r="CS21" s="5">
        <f t="shared" si="4"/>
        <v>43.786970355664444</v>
      </c>
      <c r="CT21" s="1">
        <f t="shared" si="5"/>
        <v>57.54841759948847</v>
      </c>
      <c r="CU21" s="1">
        <f t="shared" si="6"/>
        <v>0.6906665443231154</v>
      </c>
      <c r="CV21" s="1">
        <f t="shared" si="7"/>
        <v>47.898907399088195</v>
      </c>
      <c r="CW21" s="1">
        <f t="shared" si="8"/>
        <v>26.546080396268295</v>
      </c>
      <c r="CX21" s="5">
        <f t="shared" si="9"/>
        <v>4.520565372542771</v>
      </c>
      <c r="CY21" s="5">
        <f t="shared" si="10"/>
        <v>176.6918362962229</v>
      </c>
      <c r="CZ21" s="21">
        <f t="shared" si="50"/>
        <v>0</v>
      </c>
      <c r="DA21" s="21">
        <f t="shared" si="56"/>
        <v>0</v>
      </c>
      <c r="DB21" s="5">
        <f t="shared" si="33"/>
        <v>3046.907643267926</v>
      </c>
      <c r="DC21" s="5">
        <f t="shared" si="34"/>
        <v>2870.215806971703</v>
      </c>
      <c r="DD21" s="5"/>
      <c r="DE21" s="21">
        <v>0</v>
      </c>
      <c r="DF21" s="21">
        <f t="shared" si="12"/>
        <v>0.012007748132776962</v>
      </c>
      <c r="DG21" s="21">
        <f t="shared" si="13"/>
        <v>0.15796345996181557</v>
      </c>
      <c r="DH21" s="21">
        <f t="shared" si="44"/>
        <v>0.06479904649453366</v>
      </c>
      <c r="DI21" s="21">
        <f t="shared" si="45"/>
        <v>15.432325845787844</v>
      </c>
      <c r="DJ21" s="21">
        <f t="shared" si="46"/>
        <v>3.7290825877160927</v>
      </c>
      <c r="DL21" s="14">
        <f t="shared" si="14"/>
        <v>24.26144403038331</v>
      </c>
      <c r="DM21" s="14">
        <f t="shared" si="15"/>
        <v>0</v>
      </c>
      <c r="DN21" s="14">
        <f t="shared" si="35"/>
        <v>0</v>
      </c>
      <c r="DO21" s="14">
        <f t="shared" si="16"/>
        <v>64.02199546906976</v>
      </c>
      <c r="DP21" s="14">
        <f t="shared" si="17"/>
        <v>1.4370954253375803</v>
      </c>
      <c r="DQ21" s="14">
        <f t="shared" si="18"/>
        <v>1.888748342163912</v>
      </c>
      <c r="DR21" s="14">
        <f t="shared" si="19"/>
        <v>1.572049861928692</v>
      </c>
      <c r="DS21" s="14">
        <f t="shared" si="20"/>
        <v>0.871246637715497</v>
      </c>
      <c r="DT21" s="14"/>
      <c r="DU21" s="14">
        <f t="shared" si="22"/>
        <v>5.79905454917938</v>
      </c>
      <c r="DV21" s="14"/>
      <c r="DW21" s="14">
        <f t="shared" si="23"/>
        <v>25.754989946517526</v>
      </c>
      <c r="DX21" s="14">
        <f t="shared" si="24"/>
        <v>0</v>
      </c>
      <c r="DY21" s="14">
        <f t="shared" si="25"/>
        <v>67.9632196499489</v>
      </c>
      <c r="DZ21" s="14">
        <f t="shared" si="26"/>
        <v>1.525563696266555</v>
      </c>
      <c r="EA21" s="14">
        <f t="shared" si="27"/>
        <v>2.005020579278547</v>
      </c>
      <c r="EB21" s="14">
        <f t="shared" si="28"/>
        <v>1.6688259915070707</v>
      </c>
      <c r="EC21" s="14">
        <f t="shared" si="29"/>
        <v>0.9248809908923343</v>
      </c>
      <c r="ED21" s="14">
        <f t="shared" si="30"/>
        <v>0.1574991455890668</v>
      </c>
      <c r="EE21" s="14"/>
      <c r="EG21" s="14">
        <f t="shared" si="36"/>
        <v>29.443073367651696</v>
      </c>
      <c r="EH21" s="14">
        <f t="shared" si="37"/>
        <v>69.63204564145597</v>
      </c>
      <c r="EI21" s="14">
        <f t="shared" si="38"/>
        <v>99.07511900910767</v>
      </c>
      <c r="EK21" s="14">
        <f t="shared" si="39"/>
        <v>64.02199546906976</v>
      </c>
      <c r="EL21" s="14"/>
      <c r="EM21" s="14">
        <f t="shared" si="40"/>
        <v>5.79905454917938</v>
      </c>
      <c r="EN21" s="14">
        <f t="shared" si="41"/>
        <v>30.03058429752899</v>
      </c>
      <c r="EO21" s="14">
        <f t="shared" si="31"/>
        <v>99.85163431577813</v>
      </c>
      <c r="ES21" s="14"/>
    </row>
    <row r="22" spans="1:149" ht="12.75">
      <c r="A22" s="72" t="s">
        <v>231</v>
      </c>
      <c r="B22" s="7">
        <v>515</v>
      </c>
      <c r="C22" s="7">
        <v>390</v>
      </c>
      <c r="D22" s="7">
        <v>630</v>
      </c>
      <c r="E22" s="13" t="s">
        <v>174</v>
      </c>
      <c r="F22" s="60">
        <v>3</v>
      </c>
      <c r="G22" s="4">
        <v>36487.600694444445</v>
      </c>
      <c r="H22" s="4">
        <v>36488.600694444445</v>
      </c>
      <c r="I22" s="1">
        <v>-22.298333333333332</v>
      </c>
      <c r="J22" s="1">
        <v>7.45</v>
      </c>
      <c r="K22" s="1">
        <v>-26.216666666666665</v>
      </c>
      <c r="L22" s="1">
        <v>11</v>
      </c>
      <c r="M22" s="1">
        <v>1.0991666666666662</v>
      </c>
      <c r="N22" s="1">
        <v>1.091875</v>
      </c>
      <c r="O22" s="1">
        <v>0.016951355860478856</v>
      </c>
      <c r="P22" s="1">
        <v>0.01711870623706694</v>
      </c>
      <c r="Q22" s="139">
        <v>2906.123999991492</v>
      </c>
      <c r="R22" s="5">
        <v>23.56285752148341</v>
      </c>
      <c r="S22" s="1">
        <v>2.6693046677384626</v>
      </c>
      <c r="T22" s="1">
        <v>2.6693046677384626</v>
      </c>
      <c r="U22" s="1">
        <v>2.6693046677384626</v>
      </c>
      <c r="V22" s="1">
        <v>2.0340202862171117</v>
      </c>
      <c r="W22" s="1">
        <v>0.9308976062259994</v>
      </c>
      <c r="X22" s="1">
        <v>31.197381793845278</v>
      </c>
      <c r="Y22" s="1">
        <v>1.77190201712669</v>
      </c>
      <c r="Z22" s="1">
        <v>0</v>
      </c>
      <c r="AA22" s="1">
        <v>0</v>
      </c>
      <c r="AB22" s="1">
        <v>1020.2690123777579</v>
      </c>
      <c r="AC22" s="1">
        <v>4.598823406380411</v>
      </c>
      <c r="AD22" s="1">
        <v>0</v>
      </c>
      <c r="AE22" s="1">
        <v>0</v>
      </c>
      <c r="AF22" s="1">
        <v>100.40478437059022</v>
      </c>
      <c r="AG22" s="1">
        <v>10.243045473670069</v>
      </c>
      <c r="AH22" s="1">
        <v>100.40478437059022</v>
      </c>
      <c r="AI22" s="1">
        <v>10.243045473670069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597.3508926761266</v>
      </c>
      <c r="AQ22" s="1">
        <v>11.650172240154152</v>
      </c>
      <c r="AR22" s="14">
        <f t="shared" si="42"/>
        <v>426.773424182682</v>
      </c>
      <c r="AS22" s="1">
        <v>7.502769028905902</v>
      </c>
      <c r="AT22" s="1">
        <v>2.4248859675522505</v>
      </c>
      <c r="AU22" s="5">
        <v>677.0405987257767</v>
      </c>
      <c r="AV22" s="5">
        <v>23.779355009122103</v>
      </c>
      <c r="AW22" s="5">
        <v>26.004512082606404</v>
      </c>
      <c r="AX22" s="5">
        <v>18.05967827827177</v>
      </c>
      <c r="AY22" s="5">
        <v>16.027640506045785</v>
      </c>
      <c r="AZ22" s="5">
        <v>9.953281574201549</v>
      </c>
      <c r="BA22" s="14"/>
      <c r="BB22" s="26"/>
      <c r="BC22" s="26"/>
      <c r="BD22" s="5">
        <v>72.69579414853239</v>
      </c>
      <c r="BE22" s="5">
        <v>8.547125166513043</v>
      </c>
      <c r="BF22" s="14"/>
      <c r="BG22" s="5">
        <v>13.696366002450636</v>
      </c>
      <c r="BH22" s="5">
        <v>10.150180347350974</v>
      </c>
      <c r="BI22" s="14"/>
      <c r="BJ22" s="14"/>
      <c r="BK22" s="5">
        <v>23.56285752148341</v>
      </c>
      <c r="BL22" s="5"/>
      <c r="BM22" s="5"/>
      <c r="BN22" s="21">
        <f t="shared" si="0"/>
        <v>0.8380393193301973</v>
      </c>
      <c r="BO22" s="21">
        <f t="shared" si="1"/>
        <v>0.8947739407522164</v>
      </c>
      <c r="BQ22" s="29">
        <v>-3.117790905443409</v>
      </c>
      <c r="BR22" s="29">
        <v>-3.117790905443409</v>
      </c>
      <c r="BS22" s="30">
        <v>30.994550232634154</v>
      </c>
      <c r="BT22" s="65">
        <v>1155.5507251769973</v>
      </c>
      <c r="BU22" s="65">
        <v>1155.5507251769973</v>
      </c>
      <c r="BV22" s="30">
        <v>408.2604622873423</v>
      </c>
      <c r="BW22" s="65">
        <v>105.01020992584041</v>
      </c>
      <c r="BX22" s="30">
        <v>108.46911092360737</v>
      </c>
      <c r="BY22" s="65">
        <v>102.75506653815647</v>
      </c>
      <c r="BZ22" s="30">
        <v>56.47335187426346</v>
      </c>
      <c r="CA22" s="65">
        <v>65.40271327835346</v>
      </c>
      <c r="CB22" s="30">
        <v>44.974882116504425</v>
      </c>
      <c r="CC22" s="66">
        <v>273.1679897423503</v>
      </c>
      <c r="CD22" s="66">
        <v>273.1679897423503</v>
      </c>
      <c r="CE22" s="66">
        <v>209.91734491437526</v>
      </c>
      <c r="CF22" s="29">
        <v>336.2819601263756</v>
      </c>
      <c r="CG22" s="30">
        <v>264.05557827449894</v>
      </c>
      <c r="CH22" s="31">
        <v>7.585731747564285</v>
      </c>
      <c r="CI22" s="31">
        <v>5.849555572296759</v>
      </c>
      <c r="CJ22" s="31">
        <v>1.0607308874606018</v>
      </c>
      <c r="CK22" s="31">
        <v>39.89061916103449</v>
      </c>
      <c r="CM22" s="5">
        <f t="shared" si="2"/>
        <v>426.80436585710345</v>
      </c>
      <c r="CN22" s="26"/>
      <c r="CO22" s="26"/>
      <c r="CP22" s="1">
        <f t="shared" si="3"/>
        <v>2001.9778805301341</v>
      </c>
      <c r="CQ22" s="1">
        <f t="shared" si="32"/>
        <v>2.0019778805301343</v>
      </c>
      <c r="CR22" s="1"/>
      <c r="CS22" s="5">
        <f t="shared" si="4"/>
        <v>26.004512082606404</v>
      </c>
      <c r="CT22" s="1">
        <f t="shared" si="5"/>
        <v>100.40478437059022</v>
      </c>
      <c r="CU22" s="1">
        <f t="shared" si="6"/>
        <v>4.261146352009567</v>
      </c>
      <c r="CV22" s="1">
        <f t="shared" si="7"/>
        <v>31.197381793845278</v>
      </c>
      <c r="CW22" s="1">
        <f t="shared" si="8"/>
        <v>12.206093982861477</v>
      </c>
      <c r="CX22" s="5">
        <f t="shared" si="9"/>
        <v>-3.117790905443409</v>
      </c>
      <c r="CY22" s="5">
        <f t="shared" si="10"/>
        <v>273.1679897423503</v>
      </c>
      <c r="CZ22" s="21">
        <f t="shared" si="50"/>
        <v>0</v>
      </c>
      <c r="DA22" s="21">
        <f t="shared" si="56"/>
        <v>0</v>
      </c>
      <c r="DB22" s="5">
        <f t="shared" si="33"/>
        <v>2868.6452174540473</v>
      </c>
      <c r="DC22" s="5">
        <f t="shared" si="34"/>
        <v>2595.477227711697</v>
      </c>
      <c r="DD22" s="5"/>
      <c r="DE22" s="21">
        <v>0</v>
      </c>
      <c r="DF22" s="21">
        <f t="shared" si="12"/>
        <v>0.01777461134580204</v>
      </c>
      <c r="DG22" s="21">
        <f t="shared" si="13"/>
        <v>0.16248754403210808</v>
      </c>
      <c r="DH22" s="21">
        <f t="shared" si="44"/>
        <v>0.07310057287093659</v>
      </c>
      <c r="DI22" s="21">
        <f t="shared" si="45"/>
        <v>13.679783354989016</v>
      </c>
      <c r="DJ22" s="21">
        <f t="shared" si="46"/>
        <v>7.339647256473006</v>
      </c>
      <c r="DL22" s="14">
        <f t="shared" si="14"/>
        <v>14.878255535409037</v>
      </c>
      <c r="DM22" s="14">
        <f t="shared" si="15"/>
        <v>0</v>
      </c>
      <c r="DN22" s="14">
        <f t="shared" si="35"/>
        <v>0</v>
      </c>
      <c r="DO22" s="14">
        <f t="shared" si="16"/>
        <v>69.78827037757253</v>
      </c>
      <c r="DP22" s="14">
        <f t="shared" si="17"/>
        <v>0.9065084773949732</v>
      </c>
      <c r="DQ22" s="14">
        <f t="shared" si="18"/>
        <v>3.5000767525968417</v>
      </c>
      <c r="DR22" s="14">
        <f t="shared" si="19"/>
        <v>1.0875301554903773</v>
      </c>
      <c r="DS22" s="14">
        <f t="shared" si="20"/>
        <v>0.42550029918633553</v>
      </c>
      <c r="DT22" s="14"/>
      <c r="DU22" s="14">
        <f t="shared" si="22"/>
        <v>9.522543536589364</v>
      </c>
      <c r="DV22" s="14"/>
      <c r="DW22" s="14">
        <f t="shared" si="23"/>
        <v>16.44415760231484</v>
      </c>
      <c r="DX22" s="14">
        <f t="shared" si="24"/>
        <v>0</v>
      </c>
      <c r="DY22" s="14">
        <f t="shared" si="25"/>
        <v>77.1333248142261</v>
      </c>
      <c r="DZ22" s="14">
        <f t="shared" si="26"/>
        <v>1.001916403078338</v>
      </c>
      <c r="EA22" s="14">
        <f t="shared" si="27"/>
        <v>3.8684517551753714</v>
      </c>
      <c r="EB22" s="14">
        <f t="shared" si="28"/>
        <v>1.201990195126869</v>
      </c>
      <c r="EC22" s="14">
        <f t="shared" si="29"/>
        <v>0.4702832239303822</v>
      </c>
      <c r="ED22" s="14">
        <f t="shared" si="30"/>
        <v>-0.12012399385188247</v>
      </c>
      <c r="EE22" s="14"/>
      <c r="EG22" s="14">
        <f t="shared" si="36"/>
        <v>21.194401766716663</v>
      </c>
      <c r="EH22" s="14">
        <f t="shared" si="37"/>
        <v>78.33531500935297</v>
      </c>
      <c r="EI22" s="14">
        <f t="shared" si="38"/>
        <v>99.52971677606963</v>
      </c>
      <c r="EK22" s="14">
        <f t="shared" si="39"/>
        <v>69.78827037757253</v>
      </c>
      <c r="EL22" s="14"/>
      <c r="EM22" s="14">
        <f t="shared" si="40"/>
        <v>9.522543536589364</v>
      </c>
      <c r="EN22" s="14">
        <f t="shared" si="41"/>
        <v>20.797871220077564</v>
      </c>
      <c r="EO22" s="14">
        <f t="shared" si="31"/>
        <v>100.10868513423947</v>
      </c>
      <c r="EP22" s="21"/>
      <c r="EQ22" s="21"/>
      <c r="ER22" s="21"/>
      <c r="ES22" s="14"/>
    </row>
    <row r="23" spans="1:149" s="67" customFormat="1" ht="12.75">
      <c r="A23" s="82" t="s">
        <v>232</v>
      </c>
      <c r="B23" s="84">
        <v>275</v>
      </c>
      <c r="C23" s="84">
        <v>180</v>
      </c>
      <c r="D23" s="84">
        <v>390</v>
      </c>
      <c r="E23" s="85" t="s">
        <v>175</v>
      </c>
      <c r="F23" s="61">
        <v>3</v>
      </c>
      <c r="G23" s="3">
        <v>36488.604166666664</v>
      </c>
      <c r="H23" s="3">
        <v>36489.600694444445</v>
      </c>
      <c r="I23" s="68">
        <v>-26.233333333333334</v>
      </c>
      <c r="J23" s="68">
        <v>11.016666666666667</v>
      </c>
      <c r="K23" s="68">
        <v>-31.039166666666667</v>
      </c>
      <c r="L23" s="68">
        <v>15.546666666666667</v>
      </c>
      <c r="M23" s="68">
        <v>0.8685416666666668</v>
      </c>
      <c r="N23" s="68">
        <v>0.8627083333333334</v>
      </c>
      <c r="O23" s="68">
        <v>0.015056445142617132</v>
      </c>
      <c r="P23" s="68">
        <v>0.013662678381210585</v>
      </c>
      <c r="Q23" s="140">
        <v>2979.2991666763346</v>
      </c>
      <c r="R23" s="87">
        <v>24.42204904183833</v>
      </c>
      <c r="S23" s="68">
        <v>4.61408391595519</v>
      </c>
      <c r="T23" s="68">
        <v>4.61408391595519</v>
      </c>
      <c r="U23" s="68">
        <v>0.09110880868828601</v>
      </c>
      <c r="V23" s="68">
        <v>3.114652780489964</v>
      </c>
      <c r="W23" s="68">
        <v>0.48516962750643056</v>
      </c>
      <c r="X23" s="68">
        <v>28.14459430991761</v>
      </c>
      <c r="Y23" s="68">
        <v>1.7839003939959681</v>
      </c>
      <c r="Z23" s="68">
        <v>0</v>
      </c>
      <c r="AA23" s="68">
        <v>0</v>
      </c>
      <c r="AB23" s="68">
        <v>985.0387324965122</v>
      </c>
      <c r="AC23" s="68">
        <v>16.793271029743472</v>
      </c>
      <c r="AD23" s="68">
        <v>0</v>
      </c>
      <c r="AE23" s="68">
        <v>0</v>
      </c>
      <c r="AF23" s="68">
        <v>103.40374108558767</v>
      </c>
      <c r="AG23" s="68">
        <v>17.5685368309421</v>
      </c>
      <c r="AH23" s="68">
        <v>103.40374108558767</v>
      </c>
      <c r="AI23" s="68">
        <v>17.5685368309421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449.64172572071635</v>
      </c>
      <c r="AQ23" s="68">
        <v>5.489268397323005</v>
      </c>
      <c r="AR23" s="70">
        <f t="shared" si="42"/>
        <v>282.30340923105075</v>
      </c>
      <c r="AS23" s="68">
        <v>8.6397397921668</v>
      </c>
      <c r="AT23" s="68">
        <v>1.7426416794239221</v>
      </c>
      <c r="AU23" s="87">
        <v>664.184050722272</v>
      </c>
      <c r="AV23" s="87">
        <v>22.382151489045338</v>
      </c>
      <c r="AW23" s="87">
        <v>19.5908742461636</v>
      </c>
      <c r="AX23" s="87">
        <v>3.2345433412607285</v>
      </c>
      <c r="AY23" s="87">
        <v>15.638603960697749</v>
      </c>
      <c r="AZ23" s="87">
        <v>6.606573482850425</v>
      </c>
      <c r="BA23" s="70"/>
      <c r="BB23" s="88"/>
      <c r="BC23" s="88"/>
      <c r="BD23" s="87">
        <v>64.73845917995612</v>
      </c>
      <c r="BE23" s="87">
        <v>5.048498408223728</v>
      </c>
      <c r="BF23" s="70"/>
      <c r="BG23" s="87">
        <v>10.099063797253315</v>
      </c>
      <c r="BH23" s="87">
        <v>2.204851794343806</v>
      </c>
      <c r="BI23" s="70"/>
      <c r="BJ23" s="70"/>
      <c r="BK23" s="87">
        <v>24.42204904183833</v>
      </c>
      <c r="BL23" s="87"/>
      <c r="BM23" s="87"/>
      <c r="BN23" s="89">
        <f t="shared" si="0"/>
        <v>0.8247632019724691</v>
      </c>
      <c r="BO23" s="89">
        <f t="shared" si="1"/>
        <v>0.8122555174974442</v>
      </c>
      <c r="BQ23" s="69">
        <v>3.6913055076547976</v>
      </c>
      <c r="BR23" s="69">
        <v>3.6913055076547976</v>
      </c>
      <c r="BS23" s="90">
        <v>30.62262296016617</v>
      </c>
      <c r="BT23" s="91">
        <v>781.3764026260839</v>
      </c>
      <c r="BU23" s="91">
        <v>781.3764026260839</v>
      </c>
      <c r="BV23" s="90">
        <v>93.53516901797603</v>
      </c>
      <c r="BW23" s="91">
        <v>20.98284497537372</v>
      </c>
      <c r="BX23" s="90">
        <v>52.525604309569225</v>
      </c>
      <c r="BY23" s="91">
        <v>60.50766119616192</v>
      </c>
      <c r="BZ23" s="90">
        <v>21.298654381365704</v>
      </c>
      <c r="CA23" s="91">
        <v>22.824282776088392</v>
      </c>
      <c r="CB23" s="90">
        <v>18.005172603335737</v>
      </c>
      <c r="CC23" s="92">
        <v>104.31478894762402</v>
      </c>
      <c r="CD23" s="92">
        <v>104.31478894762402</v>
      </c>
      <c r="CE23" s="92">
        <v>91.82943129427066</v>
      </c>
      <c r="CF23" s="69">
        <v>130.35926351548397</v>
      </c>
      <c r="CG23" s="90">
        <v>123.88768321707504</v>
      </c>
      <c r="CH23" s="71">
        <v>6.677785847196141</v>
      </c>
      <c r="CI23" s="71">
        <v>5.001112611711943</v>
      </c>
      <c r="CJ23" s="71">
        <v>0.07936632169160217</v>
      </c>
      <c r="CK23" s="71">
        <v>28.86279702211524</v>
      </c>
      <c r="CM23" s="87">
        <f t="shared" si="2"/>
        <v>282.333763343776</v>
      </c>
      <c r="CN23" s="88"/>
      <c r="CO23" s="88"/>
      <c r="CP23" s="68">
        <f t="shared" si="3"/>
        <v>1948.1056060438066</v>
      </c>
      <c r="CQ23" s="68">
        <f t="shared" si="32"/>
        <v>1.9481056060438067</v>
      </c>
      <c r="CR23" s="68"/>
      <c r="CS23" s="87">
        <f t="shared" si="4"/>
        <v>19.5908742461636</v>
      </c>
      <c r="CT23" s="68">
        <f t="shared" si="5"/>
        <v>103.40374108558767</v>
      </c>
      <c r="CU23" s="68">
        <f t="shared" si="6"/>
        <v>4.234032161201659</v>
      </c>
      <c r="CV23" s="68">
        <f t="shared" si="7"/>
        <v>28.14459430991761</v>
      </c>
      <c r="CW23" s="68">
        <f t="shared" si="8"/>
        <v>16.368476488611954</v>
      </c>
      <c r="CX23" s="87">
        <f t="shared" si="9"/>
        <v>3.6913055076547976</v>
      </c>
      <c r="CY23" s="87">
        <f t="shared" si="10"/>
        <v>104.31478894762402</v>
      </c>
      <c r="CZ23" s="21">
        <f t="shared" si="50"/>
        <v>0</v>
      </c>
      <c r="DA23" s="21">
        <f t="shared" si="56"/>
        <v>0</v>
      </c>
      <c r="DB23" s="87">
        <f t="shared" si="33"/>
        <v>2505.9531499731424</v>
      </c>
      <c r="DC23" s="87">
        <f t="shared" si="34"/>
        <v>2401.6383610255184</v>
      </c>
      <c r="DD23" s="87"/>
      <c r="DE23" s="89">
        <v>0</v>
      </c>
      <c r="DF23" s="89">
        <f t="shared" si="12"/>
        <v>0.02365464117272037</v>
      </c>
      <c r="DG23" s="89">
        <f t="shared" si="13"/>
        <v>0.1850573872465893</v>
      </c>
      <c r="DH23" s="89">
        <f t="shared" si="44"/>
        <v>0.0996962607946499</v>
      </c>
      <c r="DI23" s="89">
        <f t="shared" si="45"/>
        <v>10.030466459115827</v>
      </c>
      <c r="DJ23" s="21">
        <f t="shared" si="46"/>
        <v>10.308966338411203</v>
      </c>
      <c r="DL23" s="70">
        <f t="shared" si="14"/>
        <v>11.266522015657074</v>
      </c>
      <c r="DM23" s="70">
        <f t="shared" si="15"/>
        <v>0</v>
      </c>
      <c r="DN23" s="70">
        <f t="shared" si="35"/>
        <v>0</v>
      </c>
      <c r="DO23" s="70">
        <f t="shared" si="16"/>
        <v>77.73910721613791</v>
      </c>
      <c r="DP23" s="70">
        <f t="shared" si="17"/>
        <v>0.7817733642136752</v>
      </c>
      <c r="DQ23" s="70">
        <f t="shared" si="18"/>
        <v>4.126323793670919</v>
      </c>
      <c r="DR23" s="70">
        <f t="shared" si="19"/>
        <v>1.1231093570212696</v>
      </c>
      <c r="DS23" s="70">
        <f t="shared" si="20"/>
        <v>0.6531836594306395</v>
      </c>
      <c r="DT23" s="70"/>
      <c r="DU23" s="70">
        <f t="shared" si="22"/>
        <v>4.162679136628792</v>
      </c>
      <c r="DV23" s="70"/>
      <c r="DW23" s="70">
        <f t="shared" si="23"/>
        <v>11.755881648360134</v>
      </c>
      <c r="DX23" s="70">
        <f t="shared" si="24"/>
        <v>0</v>
      </c>
      <c r="DY23" s="70">
        <f t="shared" si="25"/>
        <v>81.11569325583017</v>
      </c>
      <c r="DZ23" s="70">
        <f t="shared" si="26"/>
        <v>0.8157295687847917</v>
      </c>
      <c r="EA23" s="70">
        <f t="shared" si="27"/>
        <v>4.3055500263342505</v>
      </c>
      <c r="EB23" s="70">
        <f t="shared" si="28"/>
        <v>1.1718914373894183</v>
      </c>
      <c r="EC23" s="70">
        <f t="shared" si="29"/>
        <v>0.6815545901599642</v>
      </c>
      <c r="ED23" s="70">
        <f t="shared" si="30"/>
        <v>0.15369947314126767</v>
      </c>
      <c r="EE23" s="70"/>
      <c r="EG23" s="70">
        <f t="shared" si="36"/>
        <v>17.03086071662044</v>
      </c>
      <c r="EH23" s="70">
        <f t="shared" si="37"/>
        <v>82.28758469321959</v>
      </c>
      <c r="EI23" s="70">
        <f t="shared" si="38"/>
        <v>99.31844540984002</v>
      </c>
      <c r="EK23" s="70">
        <f t="shared" si="39"/>
        <v>77.73910721613791</v>
      </c>
      <c r="EL23" s="70"/>
      <c r="EM23" s="70">
        <f t="shared" si="40"/>
        <v>4.162679136628792</v>
      </c>
      <c r="EN23" s="70">
        <f t="shared" si="41"/>
        <v>17.950912189993577</v>
      </c>
      <c r="EO23" s="70">
        <f t="shared" si="31"/>
        <v>99.85269854276028</v>
      </c>
      <c r="ES23" s="14"/>
    </row>
    <row r="24" spans="17:142" s="57" customFormat="1" ht="12.75">
      <c r="Q24" s="141"/>
      <c r="AR24" s="94"/>
      <c r="BA24" s="94"/>
      <c r="BB24" s="95"/>
      <c r="BC24" s="95"/>
      <c r="BF24" s="94"/>
      <c r="BI24" s="94"/>
      <c r="BJ24" s="94"/>
      <c r="BN24" s="96"/>
      <c r="BO24" s="96"/>
      <c r="BT24" s="97"/>
      <c r="BU24" s="97"/>
      <c r="BV24" s="98"/>
      <c r="BW24" s="97"/>
      <c r="BX24" s="98"/>
      <c r="BY24" s="97"/>
      <c r="BZ24" s="98"/>
      <c r="CA24" s="97"/>
      <c r="CB24" s="98"/>
      <c r="CC24" s="99"/>
      <c r="CD24" s="99"/>
      <c r="CE24" s="99"/>
      <c r="CO24" s="95"/>
      <c r="CR24" s="56"/>
      <c r="CS24" s="100"/>
      <c r="CU24" s="56"/>
      <c r="DA24" s="96"/>
      <c r="DB24" s="100"/>
      <c r="DC24" s="100"/>
      <c r="DD24" s="100"/>
      <c r="DE24" s="96"/>
      <c r="DF24" s="96"/>
      <c r="DG24" s="96"/>
      <c r="DH24" s="96"/>
      <c r="DI24" s="96"/>
      <c r="DJ24" s="96"/>
      <c r="DM24" s="94"/>
      <c r="EL24" s="94"/>
    </row>
    <row r="25" spans="1:149" ht="12.75">
      <c r="A25" s="72" t="s">
        <v>233</v>
      </c>
      <c r="B25" s="73">
        <v>275.8333333333333</v>
      </c>
      <c r="C25" s="7">
        <v>5</v>
      </c>
      <c r="D25" s="7">
        <v>640</v>
      </c>
      <c r="E25" s="13" t="s">
        <v>176</v>
      </c>
      <c r="F25" s="60">
        <v>4</v>
      </c>
      <c r="G25" s="4">
        <v>36495.42361111111</v>
      </c>
      <c r="H25" s="4">
        <v>36496.49722222222</v>
      </c>
      <c r="I25" s="1">
        <v>-33.858333333333334</v>
      </c>
      <c r="J25" s="1">
        <v>18.316666666666666</v>
      </c>
      <c r="K25" s="1">
        <v>-38.56333333333333</v>
      </c>
      <c r="L25" s="1">
        <v>13.865</v>
      </c>
      <c r="M25" s="1">
        <v>4.394117647058823</v>
      </c>
      <c r="N25" s="1">
        <v>4.972619047619048</v>
      </c>
      <c r="O25" s="1">
        <v>0.018490544359072037</v>
      </c>
      <c r="P25" s="1">
        <v>0.019739421682648785</v>
      </c>
      <c r="Q25" s="139">
        <v>3153.066999999525</v>
      </c>
      <c r="R25" s="5">
        <v>51.398698966762645</v>
      </c>
      <c r="S25" s="1">
        <v>19.713520861081</v>
      </c>
      <c r="T25" s="1">
        <v>19.713520861081</v>
      </c>
      <c r="U25" s="1">
        <v>6.659076635631978</v>
      </c>
      <c r="V25" s="1">
        <v>14.085312039908606</v>
      </c>
      <c r="W25" s="1">
        <v>1.243159744500162</v>
      </c>
      <c r="X25" s="1">
        <v>30.806508193695787</v>
      </c>
      <c r="Y25" s="1">
        <v>4.435625151532622</v>
      </c>
      <c r="Z25" s="1">
        <v>0</v>
      </c>
      <c r="AA25" s="1">
        <v>0</v>
      </c>
      <c r="AB25" s="1">
        <v>967.1601567184654</v>
      </c>
      <c r="AC25" s="1">
        <v>2.0051230892788743</v>
      </c>
      <c r="AD25" s="1">
        <v>0</v>
      </c>
      <c r="AE25" s="1">
        <v>0</v>
      </c>
      <c r="AF25" s="1">
        <v>242.32067125967453</v>
      </c>
      <c r="AG25" s="1">
        <v>30.490230562711766</v>
      </c>
      <c r="AH25" s="1">
        <v>242.32067125967453</v>
      </c>
      <c r="AI25" s="1">
        <v>30.490230562711766</v>
      </c>
      <c r="AJ25" s="1">
        <v>0</v>
      </c>
      <c r="AK25" s="1">
        <v>0</v>
      </c>
      <c r="AL25" s="1">
        <v>12.568929285446169</v>
      </c>
      <c r="AM25" s="1">
        <v>1.9651863411649722</v>
      </c>
      <c r="AN25" s="1">
        <v>21.260749669600386</v>
      </c>
      <c r="AO25" s="1">
        <v>7.764438793019913</v>
      </c>
      <c r="AP25" s="1">
        <v>872.1718375566932</v>
      </c>
      <c r="AQ25" s="1">
        <v>8.582376677643268</v>
      </c>
      <c r="AR25" s="14">
        <f aca="true" t="shared" si="57" ref="AR25:AR30">AP25-AR$5*$AU25</f>
        <v>646.401046774279</v>
      </c>
      <c r="AS25" s="1">
        <v>88.4079424417875</v>
      </c>
      <c r="AT25" s="1">
        <v>1.332810342743409</v>
      </c>
      <c r="AU25" s="5">
        <v>896.1089217477285</v>
      </c>
      <c r="AV25" s="5">
        <v>11.045340914685134</v>
      </c>
      <c r="AW25" s="5">
        <v>16.215720609637536</v>
      </c>
      <c r="AX25" s="5">
        <v>10.614640597673011</v>
      </c>
      <c r="AY25" s="5">
        <v>135.11155168169054</v>
      </c>
      <c r="AZ25" s="5">
        <v>1.8362604170304537</v>
      </c>
      <c r="BA25" s="14">
        <f>AY25-BA$5*$AU25</f>
        <v>101.3756863923643</v>
      </c>
      <c r="BB25" s="26">
        <f>BA25-BB$5*BI25</f>
        <v>101.3756863923643</v>
      </c>
      <c r="BC25" s="26">
        <f>BA25/AS25</f>
        <v>1.1466807573212718</v>
      </c>
      <c r="BD25" s="5">
        <v>82.75938291924403</v>
      </c>
      <c r="BE25" s="5">
        <v>2.3984928652965354</v>
      </c>
      <c r="BF25" s="14">
        <f aca="true" t="shared" si="58" ref="BF25:BF30">BD25-BF$5*$AU25</f>
        <v>-24.773687690483385</v>
      </c>
      <c r="BG25" s="5">
        <v>27.832049071944862</v>
      </c>
      <c r="BH25" s="5">
        <v>6.815803185241362</v>
      </c>
      <c r="BI25" s="14"/>
      <c r="BJ25" s="14"/>
      <c r="BK25" s="5">
        <v>51.398698966762645</v>
      </c>
      <c r="BL25" s="5"/>
      <c r="BM25" s="5"/>
      <c r="BN25" s="21">
        <f aca="true" t="shared" si="59" ref="BN25:BN30">(AB25/$AU25)/BN$5</f>
        <v>0.6002083136264414</v>
      </c>
      <c r="BO25" s="21">
        <f aca="true" t="shared" si="60" ref="BO25:BO30">(BD25/$AU25)/BO$5</f>
        <v>0.7696179645014029</v>
      </c>
      <c r="BQ25" s="29">
        <v>108.28062138640097</v>
      </c>
      <c r="BR25" s="29">
        <v>108.28062138640097</v>
      </c>
      <c r="BS25" s="30">
        <v>33.991521245827045</v>
      </c>
      <c r="BT25" s="65">
        <v>1217.1119816372511</v>
      </c>
      <c r="BU25" s="65">
        <v>1217.1119816372511</v>
      </c>
      <c r="BV25" s="30">
        <v>218.59525880558292</v>
      </c>
      <c r="BW25" s="65">
        <v>543.3929054187203</v>
      </c>
      <c r="BX25" s="30">
        <v>124.11814939925804</v>
      </c>
      <c r="BY25" s="65">
        <v>377.601081615489</v>
      </c>
      <c r="BZ25" s="30">
        <v>68.91945117609453</v>
      </c>
      <c r="CA25" s="65">
        <v>642.3140820736626</v>
      </c>
      <c r="CB25" s="30">
        <v>104.55458278304044</v>
      </c>
      <c r="CC25" s="66">
        <v>1563.308069107872</v>
      </c>
      <c r="CD25" s="66">
        <v>1563.308069107872</v>
      </c>
      <c r="CE25" s="66">
        <v>297.592183358393</v>
      </c>
      <c r="CF25" s="29">
        <v>2006.5832767316742</v>
      </c>
      <c r="CG25" s="30">
        <v>404.54012925034186</v>
      </c>
      <c r="CH25" s="31">
        <v>54.132234848411635</v>
      </c>
      <c r="CI25" s="31">
        <v>311.13965081930974</v>
      </c>
      <c r="CJ25" s="31">
        <v>1.9376227404602517</v>
      </c>
      <c r="CK25" s="31">
        <v>2163.5871822438494</v>
      </c>
      <c r="CM25" s="5">
        <f aca="true" t="shared" si="61" ref="CM25:CM30">AP25-0.2519*AU25</f>
        <v>646.4420001684404</v>
      </c>
      <c r="CN25" s="26">
        <f>AY25-0.0376*AU25</f>
        <v>101.41785622397595</v>
      </c>
      <c r="CO25" s="26">
        <f t="shared" si="43"/>
        <v>101.3756863923643</v>
      </c>
      <c r="CP25" s="1">
        <f aca="true" t="shared" si="62" ref="CP25:CP30">AB25+1.45*AU25</f>
        <v>2266.5180932526714</v>
      </c>
      <c r="CQ25" s="1">
        <f t="shared" si="32"/>
        <v>2.2665180932526714</v>
      </c>
      <c r="CR25" s="1"/>
      <c r="CS25" s="5">
        <f aca="true" t="shared" si="63" ref="CS25:CS30">AW25</f>
        <v>16.215720609637536</v>
      </c>
      <c r="CT25" s="1">
        <f aca="true" t="shared" si="64" ref="CT25:CT30">AF25</f>
        <v>242.32067125967453</v>
      </c>
      <c r="CU25" s="1">
        <f>CT25/BK25</f>
        <v>4.7145292805246495</v>
      </c>
      <c r="CV25" s="1">
        <f aca="true" t="shared" si="65" ref="CV25:CV30">X25</f>
        <v>30.806508193695787</v>
      </c>
      <c r="CW25" s="1">
        <f aca="true" t="shared" si="66" ref="CW25:CW30">S25+V25+Z25+AL25+AN25+AS25</f>
        <v>156.03645429782367</v>
      </c>
      <c r="CX25" s="5">
        <f aca="true" t="shared" si="67" ref="CX25:CX30">BQ25</f>
        <v>108.28062138640097</v>
      </c>
      <c r="CY25" s="5">
        <f aca="true" t="shared" si="68" ref="CY25:CY30">CC25</f>
        <v>1563.308069107872</v>
      </c>
      <c r="CZ25" s="21">
        <f>CN25/BR25</f>
        <v>0.9366205598512855</v>
      </c>
      <c r="DA25" s="21">
        <f aca="true" t="shared" si="69" ref="DA25:DA30">BB25/CX25</f>
        <v>0.9362311103720369</v>
      </c>
      <c r="DB25" s="5">
        <f t="shared" si="33"/>
        <v>5131.30382466858</v>
      </c>
      <c r="DC25" s="5">
        <f t="shared" si="34"/>
        <v>3567.9957555607084</v>
      </c>
      <c r="DD25" s="5"/>
      <c r="DE25" s="21">
        <f>BQ25/(AR25+CP25)</f>
        <v>0.037172546226394446</v>
      </c>
      <c r="DF25" s="21">
        <f aca="true" t="shared" si="70" ref="DF25:DF30">CH25/AR25</f>
        <v>0.08374403958432082</v>
      </c>
      <c r="DG25" s="21">
        <f aca="true" t="shared" si="71" ref="DG25:DG30">(AW25/18)/(AR25/48)</f>
        <v>0.06689642883700345</v>
      </c>
      <c r="DH25" s="21">
        <f aca="true" t="shared" si="72" ref="DH25:DH30">X25/AR25</f>
        <v>0.04765850604269413</v>
      </c>
      <c r="DI25" s="21">
        <f t="shared" si="45"/>
        <v>20.982613242306957</v>
      </c>
      <c r="DJ25" s="21">
        <f aca="true" t="shared" si="73" ref="DJ25:DJ30">DH25*AF25</f>
        <v>11.548641175498895</v>
      </c>
      <c r="DL25" s="14">
        <f aca="true" t="shared" si="74" ref="DL25:DL30">100*(CM25/$DB25)</f>
        <v>12.59800671051071</v>
      </c>
      <c r="DM25" s="14">
        <f aca="true" t="shared" si="75" ref="DM25:DM30">100*(CO25/$DB25)</f>
        <v>1.9756321172214344</v>
      </c>
      <c r="DN25" s="14">
        <f t="shared" si="35"/>
        <v>0</v>
      </c>
      <c r="DO25" s="14">
        <f aca="true" t="shared" si="76" ref="DO25:DO30">100*(CP25/$DB25)</f>
        <v>44.17041303141041</v>
      </c>
      <c r="DP25" s="14">
        <f aca="true" t="shared" si="77" ref="DP25:DQ30">100*(CS25/$DB25)</f>
        <v>0.316015600785145</v>
      </c>
      <c r="DQ25" s="14">
        <f t="shared" si="77"/>
        <v>4.722399599390814</v>
      </c>
      <c r="DR25" s="14">
        <f>100*(CV25/$DB25)</f>
        <v>0.6003641422594094</v>
      </c>
      <c r="DS25" s="14">
        <f>100*(CW25/$DB25)</f>
        <v>3.040873423781367</v>
      </c>
      <c r="DT25" s="14">
        <f>100*(CX25/$DB25)</f>
        <v>2.1101970393147513</v>
      </c>
      <c r="DU25" s="14">
        <f>100*(CY25/$DB25)</f>
        <v>30.466098335325963</v>
      </c>
      <c r="DV25" s="14"/>
      <c r="DW25" s="14">
        <f aca="true" t="shared" si="78" ref="DW25:DX30">100*(CM25/$DC25)</f>
        <v>18.117790615668834</v>
      </c>
      <c r="DX25" s="14">
        <f t="shared" si="78"/>
        <v>2.842432087143506</v>
      </c>
      <c r="DY25" s="14">
        <f aca="true" t="shared" si="79" ref="DY25:DY30">100*(CP25/$DC25)</f>
        <v>63.52356472734899</v>
      </c>
      <c r="DZ25" s="14">
        <f aca="true" t="shared" si="80" ref="DZ25:EA30">100*(CS25/$DC25)</f>
        <v>0.4544770151243984</v>
      </c>
      <c r="EA25" s="14">
        <f t="shared" si="80"/>
        <v>6.791506713034023</v>
      </c>
      <c r="EB25" s="14">
        <f aca="true" t="shared" si="81" ref="EB25:ED30">100*(CV25/$DC25)</f>
        <v>0.863412131185525</v>
      </c>
      <c r="EC25" s="14">
        <f t="shared" si="81"/>
        <v>4.373224212911167</v>
      </c>
      <c r="ED25" s="14">
        <f t="shared" si="81"/>
        <v>3.0347743888889447</v>
      </c>
      <c r="EE25" s="14"/>
      <c r="EG25" s="14">
        <f t="shared" si="36"/>
        <v>28.398548732716204</v>
      </c>
      <c r="EH25" s="14">
        <f t="shared" si="37"/>
        <v>64.38697685853451</v>
      </c>
      <c r="EI25" s="14">
        <f t="shared" si="38"/>
        <v>92.78552559125072</v>
      </c>
      <c r="EK25" s="14">
        <f aca="true" t="shared" si="82" ref="EK25:EK30">DO25</f>
        <v>44.17041303141041</v>
      </c>
      <c r="EL25" s="14"/>
      <c r="EM25" s="14">
        <f aca="true" t="shared" si="83" ref="EM25:EM30">DT25+DU25</f>
        <v>32.576295374640715</v>
      </c>
      <c r="EN25" s="14">
        <f aca="true" t="shared" si="84" ref="EN25:EN30">DL25+DM25+SUM(DP25:DS25)</f>
        <v>23.25329159394888</v>
      </c>
      <c r="EO25" s="14">
        <f aca="true" t="shared" si="85" ref="EO25:EO30">SUM(EK25:EN25)</f>
        <v>100</v>
      </c>
      <c r="EP25" s="21"/>
      <c r="EQ25" s="21"/>
      <c r="ER25" s="21"/>
      <c r="ES25" s="14"/>
    </row>
    <row r="26" spans="1:149" ht="12.75">
      <c r="A26" s="72" t="s">
        <v>234</v>
      </c>
      <c r="B26" s="7">
        <v>890</v>
      </c>
      <c r="C26" s="7">
        <v>640</v>
      </c>
      <c r="D26" s="7">
        <v>1240</v>
      </c>
      <c r="E26" s="13" t="s">
        <v>177</v>
      </c>
      <c r="F26" s="60">
        <v>4</v>
      </c>
      <c r="G26" s="4">
        <v>36496.5</v>
      </c>
      <c r="H26" s="4">
        <v>36497.50208333333</v>
      </c>
      <c r="I26" s="1">
        <v>-38.56333333333333</v>
      </c>
      <c r="J26" s="1">
        <v>13.865</v>
      </c>
      <c r="K26" s="1">
        <v>-44.43333333333333</v>
      </c>
      <c r="L26" s="1">
        <v>12.233333333333333</v>
      </c>
      <c r="M26" s="1">
        <v>1.16734693877551</v>
      </c>
      <c r="N26" s="1">
        <v>0.6613793103448274</v>
      </c>
      <c r="O26" s="1">
        <v>0.018070470230598778</v>
      </c>
      <c r="P26" s="1">
        <v>0.01712240520673598</v>
      </c>
      <c r="Q26" s="139">
        <v>2995.90849999855</v>
      </c>
      <c r="R26" s="5">
        <v>21.482936213276933</v>
      </c>
      <c r="S26" s="1">
        <v>1.8749498146319346</v>
      </c>
      <c r="T26" s="1">
        <v>1.8749498146319346</v>
      </c>
      <c r="U26" s="1">
        <v>1.8749498146319346</v>
      </c>
      <c r="V26" s="1">
        <v>0.498489357325042</v>
      </c>
      <c r="W26" s="1">
        <v>0.2694218270496245</v>
      </c>
      <c r="X26" s="1">
        <v>30.383203703926107</v>
      </c>
      <c r="Y26" s="1">
        <v>4.120842288723053</v>
      </c>
      <c r="Z26" s="1">
        <v>0</v>
      </c>
      <c r="AA26" s="1">
        <v>0</v>
      </c>
      <c r="AB26" s="1">
        <v>986.4571605652512</v>
      </c>
      <c r="AC26" s="1">
        <v>8.971333838328547</v>
      </c>
      <c r="AD26" s="1">
        <v>0</v>
      </c>
      <c r="AE26" s="1">
        <v>0</v>
      </c>
      <c r="AF26" s="1">
        <v>25.00655010819505</v>
      </c>
      <c r="AG26" s="1">
        <v>1.9304807216785798</v>
      </c>
      <c r="AH26" s="1">
        <v>25.00655010819505</v>
      </c>
      <c r="AI26" s="1">
        <v>1.9304807216785798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395.09609547743435</v>
      </c>
      <c r="AQ26" s="1">
        <v>20.58087282271804</v>
      </c>
      <c r="AR26" s="14">
        <f t="shared" si="57"/>
        <v>237.20115247187698</v>
      </c>
      <c r="AS26" s="1">
        <v>6.1682882317639445</v>
      </c>
      <c r="AT26" s="1">
        <v>1.6774670672801137</v>
      </c>
      <c r="AU26" s="5">
        <v>626.7022701908796</v>
      </c>
      <c r="AV26" s="5">
        <v>22.043129472855696</v>
      </c>
      <c r="AW26" s="5">
        <v>18.328901233651695</v>
      </c>
      <c r="AX26" s="5">
        <v>4.665919286831826</v>
      </c>
      <c r="AY26" s="5">
        <v>14.380180451641106</v>
      </c>
      <c r="AZ26" s="5">
        <v>7.439664825986051</v>
      </c>
      <c r="BA26" s="14"/>
      <c r="BB26" s="14"/>
      <c r="BC26" s="14"/>
      <c r="BD26" s="5">
        <v>69.388593234052</v>
      </c>
      <c r="BE26" s="5">
        <v>1.6731312479641514</v>
      </c>
      <c r="BF26" s="14">
        <f t="shared" si="58"/>
        <v>-5.815679188853551</v>
      </c>
      <c r="BG26" s="5">
        <v>18.32740853424594</v>
      </c>
      <c r="BH26" s="5">
        <v>5.740694542075595</v>
      </c>
      <c r="BI26" s="14"/>
      <c r="BJ26" s="14"/>
      <c r="BK26" s="5">
        <v>21.482936213276933</v>
      </c>
      <c r="BL26" s="5"/>
      <c r="BM26" s="5"/>
      <c r="BN26" s="21">
        <f t="shared" si="59"/>
        <v>0.8753492674768993</v>
      </c>
      <c r="BO26" s="21">
        <f t="shared" si="60"/>
        <v>0.9226682341110951</v>
      </c>
      <c r="BQ26" s="29">
        <v>2.177421498901873</v>
      </c>
      <c r="BR26" s="29">
        <v>2.177421498901873</v>
      </c>
      <c r="BS26" s="30">
        <v>30.174239878613484</v>
      </c>
      <c r="BT26" s="65">
        <v>728.2707111133401</v>
      </c>
      <c r="BU26" s="65">
        <v>728.2707111133401</v>
      </c>
      <c r="BV26" s="30">
        <v>90.69224612365048</v>
      </c>
      <c r="BW26" s="65">
        <v>53.86234721578035</v>
      </c>
      <c r="BX26" s="30">
        <v>53.51096279954039</v>
      </c>
      <c r="BY26" s="65">
        <v>58.304474784641705</v>
      </c>
      <c r="BZ26" s="30">
        <v>21.61196871411537</v>
      </c>
      <c r="CA26" s="65">
        <v>25.80087345752469</v>
      </c>
      <c r="CB26" s="30">
        <v>19.81253449763481</v>
      </c>
      <c r="CC26" s="66">
        <v>137.96769545794675</v>
      </c>
      <c r="CD26" s="66">
        <v>137.96769545794675</v>
      </c>
      <c r="CE26" s="66">
        <v>94.93546601129057</v>
      </c>
      <c r="CF26" s="29">
        <v>169.70962312640867</v>
      </c>
      <c r="CG26" s="30">
        <v>125.52115015145512</v>
      </c>
      <c r="CH26" s="31">
        <v>8.755846335892626</v>
      </c>
      <c r="CI26" s="31">
        <v>7.286484164328594</v>
      </c>
      <c r="CJ26" s="31">
        <v>0.23310147809402207</v>
      </c>
      <c r="CK26" s="31">
        <v>34.91183093851242</v>
      </c>
      <c r="CM26" s="5">
        <f t="shared" si="61"/>
        <v>237.22979361635177</v>
      </c>
      <c r="CN26" s="26"/>
      <c r="CO26" s="26"/>
      <c r="CP26" s="1">
        <f t="shared" si="62"/>
        <v>1895.1754523420268</v>
      </c>
      <c r="CQ26" s="1">
        <f t="shared" si="32"/>
        <v>1.8951754523420268</v>
      </c>
      <c r="CR26" s="1"/>
      <c r="CS26" s="5">
        <f t="shared" si="63"/>
        <v>18.328901233651695</v>
      </c>
      <c r="CT26" s="1">
        <f t="shared" si="64"/>
        <v>25.00655010819505</v>
      </c>
      <c r="CU26" s="1">
        <f>CT26/BK26</f>
        <v>1.164019194580136</v>
      </c>
      <c r="CV26" s="1">
        <f t="shared" si="65"/>
        <v>30.383203703926107</v>
      </c>
      <c r="CW26" s="1">
        <f t="shared" si="66"/>
        <v>8.541727403720921</v>
      </c>
      <c r="CX26" s="5">
        <f t="shared" si="67"/>
        <v>2.177421498901873</v>
      </c>
      <c r="CY26" s="5">
        <f t="shared" si="68"/>
        <v>137.96769545794675</v>
      </c>
      <c r="CZ26" s="5"/>
      <c r="DA26" s="21">
        <f t="shared" si="69"/>
        <v>0</v>
      </c>
      <c r="DB26" s="5">
        <f t="shared" si="33"/>
        <v>2354.810745364721</v>
      </c>
      <c r="DC26" s="5">
        <f t="shared" si="34"/>
        <v>2216.843049906774</v>
      </c>
      <c r="DD26" s="5"/>
      <c r="DE26" s="21">
        <v>0</v>
      </c>
      <c r="DF26" s="21">
        <f t="shared" si="70"/>
        <v>0.03691316945405961</v>
      </c>
      <c r="DG26" s="21">
        <f t="shared" si="71"/>
        <v>0.20605747251670492</v>
      </c>
      <c r="DH26" s="21">
        <f t="shared" si="72"/>
        <v>0.12809045566306174</v>
      </c>
      <c r="DI26" s="21">
        <f t="shared" si="45"/>
        <v>7.806982923305943</v>
      </c>
      <c r="DJ26" s="21">
        <f t="shared" si="73"/>
        <v>3.2031003979198895</v>
      </c>
      <c r="DL26" s="14">
        <f t="shared" si="74"/>
        <v>10.074261555130148</v>
      </c>
      <c r="DM26" s="14">
        <f t="shared" si="75"/>
        <v>0</v>
      </c>
      <c r="DN26" s="14">
        <f t="shared" si="35"/>
        <v>0</v>
      </c>
      <c r="DO26" s="14">
        <f t="shared" si="76"/>
        <v>80.4810091882138</v>
      </c>
      <c r="DP26" s="14">
        <f t="shared" si="77"/>
        <v>0.7783598435556168</v>
      </c>
      <c r="DQ26" s="14">
        <f t="shared" si="77"/>
        <v>1.0619346016412863</v>
      </c>
      <c r="DR26" s="14">
        <f aca="true" t="shared" si="86" ref="DR26:DS30">100*(CV26/$DB26)</f>
        <v>1.2902609589213614</v>
      </c>
      <c r="DS26" s="14">
        <f t="shared" si="86"/>
        <v>0.3627351973204093</v>
      </c>
      <c r="DT26" s="14"/>
      <c r="DU26" s="14">
        <f>100*(CY26/$DB26)</f>
        <v>5.858971712674848</v>
      </c>
      <c r="DV26" s="14"/>
      <c r="DW26" s="14">
        <f t="shared" si="78"/>
        <v>10.70124443975987</v>
      </c>
      <c r="DX26" s="14">
        <f t="shared" si="78"/>
        <v>0</v>
      </c>
      <c r="DY26" s="14">
        <f t="shared" si="79"/>
        <v>85.48983440310425</v>
      </c>
      <c r="DZ26" s="14">
        <f t="shared" si="80"/>
        <v>0.8268019350500474</v>
      </c>
      <c r="EA26" s="14">
        <f t="shared" si="80"/>
        <v>1.128025283939098</v>
      </c>
      <c r="EB26" s="14">
        <f t="shared" si="81"/>
        <v>1.3705617862845016</v>
      </c>
      <c r="EC26" s="14">
        <f t="shared" si="81"/>
        <v>0.3853104261972958</v>
      </c>
      <c r="ED26" s="14">
        <f t="shared" si="81"/>
        <v>0.09822172566494687</v>
      </c>
      <c r="EE26" s="14"/>
      <c r="EG26" s="14">
        <f t="shared" si="36"/>
        <v>12.754293384413964</v>
      </c>
      <c r="EH26" s="14">
        <f t="shared" si="37"/>
        <v>86.86039618938875</v>
      </c>
      <c r="EI26" s="14">
        <f t="shared" si="38"/>
        <v>99.61468957380272</v>
      </c>
      <c r="EK26" s="14">
        <f t="shared" si="82"/>
        <v>80.4810091882138</v>
      </c>
      <c r="EL26" s="14"/>
      <c r="EM26" s="14">
        <f t="shared" si="83"/>
        <v>5.858971712674848</v>
      </c>
      <c r="EN26" s="14">
        <f t="shared" si="84"/>
        <v>13.567552156568821</v>
      </c>
      <c r="EO26" s="14">
        <f t="shared" si="85"/>
        <v>99.90753305745747</v>
      </c>
      <c r="ES26" s="14"/>
    </row>
    <row r="27" spans="1:149" ht="12.75">
      <c r="A27" s="72" t="s">
        <v>235</v>
      </c>
      <c r="B27" s="7">
        <v>1532</v>
      </c>
      <c r="C27" s="7">
        <v>1240</v>
      </c>
      <c r="D27" s="7">
        <v>1860</v>
      </c>
      <c r="E27" s="13" t="s">
        <v>178</v>
      </c>
      <c r="F27" s="60">
        <v>4</v>
      </c>
      <c r="G27" s="4">
        <v>36497.50555555556</v>
      </c>
      <c r="H27" s="4">
        <v>36498.57638888889</v>
      </c>
      <c r="I27" s="1">
        <v>-44.43333333333333</v>
      </c>
      <c r="J27" s="1">
        <v>12.233333333333333</v>
      </c>
      <c r="K27" s="1">
        <v>-50.13706467661931</v>
      </c>
      <c r="L27" s="1">
        <v>10.937313432832383</v>
      </c>
      <c r="M27" s="1">
        <v>2.2669811320754722</v>
      </c>
      <c r="N27" s="1">
        <v>1.7248275862068965</v>
      </c>
      <c r="O27" s="1">
        <v>0.053484880399726945</v>
      </c>
      <c r="P27" s="1">
        <v>0.03125269458321789</v>
      </c>
      <c r="Q27" s="139">
        <v>3314.528999993994</v>
      </c>
      <c r="R27" s="5">
        <v>9.707824569378234</v>
      </c>
      <c r="S27" s="1">
        <v>3.714656802717806</v>
      </c>
      <c r="T27" s="1">
        <v>3.714656802717806</v>
      </c>
      <c r="U27" s="1">
        <v>0.05599465567162728</v>
      </c>
      <c r="V27" s="1">
        <v>1.3749870325262283</v>
      </c>
      <c r="W27" s="1">
        <v>0.899068308462138</v>
      </c>
      <c r="X27" s="1">
        <v>58.24558576603545</v>
      </c>
      <c r="Y27" s="1">
        <v>7.697103604545297</v>
      </c>
      <c r="Z27" s="1">
        <v>0</v>
      </c>
      <c r="AA27" s="1">
        <v>0</v>
      </c>
      <c r="AB27" s="1">
        <v>2474.659046060636</v>
      </c>
      <c r="AC27" s="1">
        <v>17.226586439952587</v>
      </c>
      <c r="AD27" s="1">
        <v>4.142534734441643</v>
      </c>
      <c r="AE27" s="1">
        <v>0.10721930640837761</v>
      </c>
      <c r="AF27" s="1">
        <v>24.620747673324207</v>
      </c>
      <c r="AG27" s="1">
        <v>0.6410904201657392</v>
      </c>
      <c r="AH27" s="1">
        <v>24.620747673324207</v>
      </c>
      <c r="AI27" s="1">
        <v>0.6410904201657392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825.0291944807207</v>
      </c>
      <c r="AQ27" s="1">
        <v>14.292420667211767</v>
      </c>
      <c r="AR27" s="14">
        <f t="shared" si="57"/>
        <v>437.85971679944106</v>
      </c>
      <c r="AS27" s="1">
        <v>5.46123588894461</v>
      </c>
      <c r="AT27" s="1">
        <v>0.9777956903176727</v>
      </c>
      <c r="AU27" s="5">
        <v>1536.717934043872</v>
      </c>
      <c r="AV27" s="5">
        <v>2.481848519343091</v>
      </c>
      <c r="AW27" s="5">
        <v>18.938234407108364</v>
      </c>
      <c r="AX27" s="5">
        <v>14.308055443987957</v>
      </c>
      <c r="AY27" s="5">
        <v>37.00018659790448</v>
      </c>
      <c r="AZ27" s="5">
        <v>16.13411118209384</v>
      </c>
      <c r="BA27" s="14"/>
      <c r="BB27" s="14"/>
      <c r="BC27" s="14"/>
      <c r="BD27" s="5">
        <v>173.6082740298807</v>
      </c>
      <c r="BE27" s="5">
        <v>18.94725463187531</v>
      </c>
      <c r="BF27" s="14">
        <f t="shared" si="58"/>
        <v>-10.797878055383933</v>
      </c>
      <c r="BG27" s="5">
        <v>46.24305127770973</v>
      </c>
      <c r="BH27" s="5">
        <v>23.977873013897504</v>
      </c>
      <c r="BI27" s="14"/>
      <c r="BJ27" s="14"/>
      <c r="BK27" s="5">
        <v>9.707824569378234</v>
      </c>
      <c r="BL27" s="5"/>
      <c r="BM27" s="5"/>
      <c r="BN27" s="21">
        <f t="shared" si="59"/>
        <v>0.8955413065552246</v>
      </c>
      <c r="BO27" s="21">
        <f t="shared" si="60"/>
        <v>0.9414451311234385</v>
      </c>
      <c r="BQ27" s="29">
        <v>10.899065364330548</v>
      </c>
      <c r="BR27" s="29">
        <v>10.899065364330548</v>
      </c>
      <c r="BS27" s="30">
        <v>27.960343083487256</v>
      </c>
      <c r="BT27" s="65">
        <v>488.80019689294613</v>
      </c>
      <c r="BU27" s="65">
        <v>488.80019689294613</v>
      </c>
      <c r="BV27" s="30">
        <v>61.15063708896529</v>
      </c>
      <c r="BW27" s="65">
        <v>39.21481980391939</v>
      </c>
      <c r="BX27" s="30">
        <v>49.183866031040075</v>
      </c>
      <c r="BY27" s="65">
        <v>61.340208475963735</v>
      </c>
      <c r="BZ27" s="30">
        <v>17.259979156979362</v>
      </c>
      <c r="CA27" s="65">
        <v>92.00679092424224</v>
      </c>
      <c r="CB27" s="30">
        <v>20.46806600631271</v>
      </c>
      <c r="CC27" s="66">
        <v>192.56181920412538</v>
      </c>
      <c r="CD27" s="66">
        <v>192.56181920412538</v>
      </c>
      <c r="CE27" s="66">
        <v>86.91191119433215</v>
      </c>
      <c r="CF27" s="29">
        <v>244.7241315407685</v>
      </c>
      <c r="CG27" s="30">
        <v>114.6110946899725</v>
      </c>
      <c r="CH27" s="31">
        <v>24.10705561571339</v>
      </c>
      <c r="CI27" s="31">
        <v>15.025176790194967</v>
      </c>
      <c r="CJ27" s="31">
        <v>0.5890934850643098</v>
      </c>
      <c r="CK27" s="31">
        <v>68.02108246889884</v>
      </c>
      <c r="CM27" s="5">
        <f t="shared" si="61"/>
        <v>437.9299468950693</v>
      </c>
      <c r="CN27" s="26"/>
      <c r="CO27" s="26"/>
      <c r="CP27" s="1">
        <f t="shared" si="62"/>
        <v>4702.90005042425</v>
      </c>
      <c r="CQ27" s="1">
        <f t="shared" si="32"/>
        <v>4.70290005042425</v>
      </c>
      <c r="CR27" s="1"/>
      <c r="CS27" s="5">
        <f t="shared" si="63"/>
        <v>18.938234407108364</v>
      </c>
      <c r="CT27" s="1">
        <f t="shared" si="64"/>
        <v>24.620747673324207</v>
      </c>
      <c r="CU27" s="1">
        <f>CT27/BK27</f>
        <v>2.536175586751576</v>
      </c>
      <c r="CV27" s="1">
        <f t="shared" si="65"/>
        <v>58.24558576603545</v>
      </c>
      <c r="CW27" s="1">
        <f t="shared" si="66"/>
        <v>10.550879724188643</v>
      </c>
      <c r="CX27" s="5">
        <f t="shared" si="67"/>
        <v>10.899065364330548</v>
      </c>
      <c r="CY27" s="5">
        <f t="shared" si="68"/>
        <v>192.56181920412538</v>
      </c>
      <c r="CZ27" s="5"/>
      <c r="DA27" s="21">
        <f t="shared" si="69"/>
        <v>0</v>
      </c>
      <c r="DB27" s="5">
        <f t="shared" si="33"/>
        <v>5456.646329458432</v>
      </c>
      <c r="DC27" s="5">
        <f t="shared" si="34"/>
        <v>5264.084510254306</v>
      </c>
      <c r="DD27" s="5"/>
      <c r="DE27" s="21">
        <v>0</v>
      </c>
      <c r="DF27" s="21">
        <f t="shared" si="70"/>
        <v>0.05505657335167801</v>
      </c>
      <c r="DG27" s="21">
        <f t="shared" si="71"/>
        <v>0.11533821560042655</v>
      </c>
      <c r="DH27" s="21">
        <f t="shared" si="72"/>
        <v>0.1330233943231514</v>
      </c>
      <c r="DI27" s="21">
        <f t="shared" si="45"/>
        <v>7.517474689983609</v>
      </c>
      <c r="DJ27" s="21">
        <f t="shared" si="73"/>
        <v>3.2751354262794186</v>
      </c>
      <c r="DL27" s="14">
        <f t="shared" si="74"/>
        <v>8.025624540312355</v>
      </c>
      <c r="DM27" s="14">
        <f t="shared" si="75"/>
        <v>0</v>
      </c>
      <c r="DN27" s="14">
        <f t="shared" si="35"/>
        <v>0</v>
      </c>
      <c r="DO27" s="14">
        <f t="shared" si="76"/>
        <v>86.18663857752735</v>
      </c>
      <c r="DP27" s="14">
        <f t="shared" si="77"/>
        <v>0.34706728755477123</v>
      </c>
      <c r="DQ27" s="14">
        <f t="shared" si="77"/>
        <v>0.4512065871010518</v>
      </c>
      <c r="DR27" s="14">
        <f t="shared" si="86"/>
        <v>1.067424609353714</v>
      </c>
      <c r="DS27" s="14">
        <f t="shared" si="86"/>
        <v>0.1933583209750706</v>
      </c>
      <c r="DT27" s="14"/>
      <c r="DU27" s="14">
        <f>100*(CY27/$DB27)</f>
        <v>3.5289408104856417</v>
      </c>
      <c r="DV27" s="14"/>
      <c r="DW27" s="14">
        <f t="shared" si="78"/>
        <v>8.31920433727826</v>
      </c>
      <c r="DX27" s="14">
        <f t="shared" si="78"/>
        <v>0</v>
      </c>
      <c r="DY27" s="14">
        <f t="shared" si="79"/>
        <v>89.33937214083699</v>
      </c>
      <c r="DZ27" s="14">
        <f t="shared" si="80"/>
        <v>0.3597631149389253</v>
      </c>
      <c r="EA27" s="14">
        <f t="shared" si="80"/>
        <v>0.4677118618700669</v>
      </c>
      <c r="EB27" s="14">
        <f t="shared" si="81"/>
        <v>1.1064713275893365</v>
      </c>
      <c r="EC27" s="14">
        <f t="shared" si="81"/>
        <v>0.20043142741412662</v>
      </c>
      <c r="ED27" s="14">
        <f t="shared" si="81"/>
        <v>0.2070457900723182</v>
      </c>
      <c r="EE27" s="14"/>
      <c r="EG27" s="14">
        <f t="shared" si="36"/>
        <v>9.353725104159569</v>
      </c>
      <c r="EH27" s="14">
        <f t="shared" si="37"/>
        <v>90.44584346842632</v>
      </c>
      <c r="EI27" s="14">
        <f t="shared" si="38"/>
        <v>99.79956857258588</v>
      </c>
      <c r="EK27" s="14">
        <f t="shared" si="82"/>
        <v>86.18663857752735</v>
      </c>
      <c r="EL27" s="14"/>
      <c r="EM27" s="14">
        <f t="shared" si="83"/>
        <v>3.5289408104856417</v>
      </c>
      <c r="EN27" s="14">
        <f t="shared" si="84"/>
        <v>10.084681345296964</v>
      </c>
      <c r="EO27" s="14">
        <f t="shared" si="85"/>
        <v>99.80026073330995</v>
      </c>
      <c r="EP27" s="21"/>
      <c r="EQ27" s="21"/>
      <c r="ER27" s="21"/>
      <c r="ES27" s="14"/>
    </row>
    <row r="28" spans="5:149" ht="12.75">
      <c r="E28" s="13" t="s">
        <v>179</v>
      </c>
      <c r="F28" s="60">
        <v>4</v>
      </c>
      <c r="G28" s="4">
        <v>36498.583333333336</v>
      </c>
      <c r="H28" s="4">
        <v>36499.51736111111</v>
      </c>
      <c r="I28" s="1">
        <v>-50.11666666666667</v>
      </c>
      <c r="J28" s="1">
        <v>10.966666666666667</v>
      </c>
      <c r="K28" s="1">
        <v>-52.86666666666667</v>
      </c>
      <c r="L28" s="1">
        <v>7.016666666666667</v>
      </c>
      <c r="M28" s="1">
        <v>1.7942222222222222</v>
      </c>
      <c r="N28" s="1">
        <v>1.8265625</v>
      </c>
      <c r="O28" s="1">
        <v>0.03309172141396923</v>
      </c>
      <c r="P28" s="1">
        <v>0.0347749566455991</v>
      </c>
      <c r="Q28" s="139">
        <v>2940.3941666539417</v>
      </c>
      <c r="R28" s="5">
        <v>0</v>
      </c>
      <c r="S28" s="1">
        <v>4.736675191569958</v>
      </c>
      <c r="T28" s="1">
        <v>4.736675191569958</v>
      </c>
      <c r="U28" s="1">
        <v>2.4308844300671093</v>
      </c>
      <c r="V28" s="1">
        <v>1.325009179514856</v>
      </c>
      <c r="W28" s="1">
        <v>0.4300476937480716</v>
      </c>
      <c r="X28" s="1">
        <v>38.8556505951867</v>
      </c>
      <c r="Y28" s="1">
        <v>1.992400218600938</v>
      </c>
      <c r="Z28" s="1">
        <v>0</v>
      </c>
      <c r="AA28" s="1">
        <v>0</v>
      </c>
      <c r="AB28" s="1">
        <v>1924.053055900296</v>
      </c>
      <c r="AC28" s="1">
        <v>9.282501176063194</v>
      </c>
      <c r="AD28" s="1">
        <v>1.7395783345738</v>
      </c>
      <c r="AE28" s="1">
        <v>1.7395783345738</v>
      </c>
      <c r="AF28" s="1">
        <v>19.039668402550653</v>
      </c>
      <c r="AG28" s="1">
        <v>1.002722870143285</v>
      </c>
      <c r="AH28" s="1">
        <v>19.039668402550653</v>
      </c>
      <c r="AI28" s="1">
        <v>1.002722870143285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398.4938302058715</v>
      </c>
      <c r="AQ28" s="1">
        <v>0.5546846604744576</v>
      </c>
      <c r="AR28" s="14">
        <f t="shared" si="57"/>
        <v>116.89439535415721</v>
      </c>
      <c r="AS28" s="1">
        <v>0</v>
      </c>
      <c r="AT28" s="1">
        <v>0</v>
      </c>
      <c r="AU28" s="5">
        <v>1117.6989062900298</v>
      </c>
      <c r="AV28" s="5">
        <v>4.203453206631209</v>
      </c>
      <c r="AW28" s="5">
        <v>10.09616847284662</v>
      </c>
      <c r="AX28" s="5">
        <v>9.328785438743335</v>
      </c>
      <c r="AY28" s="5">
        <v>28.576802559471346</v>
      </c>
      <c r="AZ28" s="5">
        <v>10.194228721411836</v>
      </c>
      <c r="BA28" s="14"/>
      <c r="BB28" s="14"/>
      <c r="BC28" s="14"/>
      <c r="BD28" s="5">
        <v>125.1423652052019</v>
      </c>
      <c r="BE28" s="5">
        <v>16.079577702427844</v>
      </c>
      <c r="BF28" s="14">
        <f t="shared" si="58"/>
        <v>-8.981503549601669</v>
      </c>
      <c r="BG28" s="5">
        <v>28.163746669538277</v>
      </c>
      <c r="BH28" s="5">
        <v>15.451954040358265</v>
      </c>
      <c r="BI28" s="14"/>
      <c r="BJ28" s="14"/>
      <c r="BK28" s="5">
        <v>0</v>
      </c>
      <c r="BL28" s="5"/>
      <c r="BM28" s="5"/>
      <c r="BN28" s="21">
        <f t="shared" si="59"/>
        <v>0.9573188898714311</v>
      </c>
      <c r="BO28" s="21">
        <f t="shared" si="60"/>
        <v>0.9330357554327555</v>
      </c>
      <c r="BQ28" s="29">
        <v>-0.9042397879063728</v>
      </c>
      <c r="BR28" s="29">
        <v>-0.9042397879063728</v>
      </c>
      <c r="BS28" s="30">
        <v>30.745345717671487</v>
      </c>
      <c r="BT28" s="65">
        <v>260.39320676374996</v>
      </c>
      <c r="BU28" s="65">
        <v>260.39320676374996</v>
      </c>
      <c r="BV28" s="30">
        <v>80.0156197018888</v>
      </c>
      <c r="BW28" s="65">
        <v>2.0455314848056982</v>
      </c>
      <c r="BX28" s="30">
        <v>50.72997543972307</v>
      </c>
      <c r="BY28" s="65">
        <v>22.206593605633426</v>
      </c>
      <c r="BZ28" s="30">
        <v>21.660391198659287</v>
      </c>
      <c r="CA28" s="65">
        <v>12.959686894682239</v>
      </c>
      <c r="CB28" s="30">
        <v>23.389464988275964</v>
      </c>
      <c r="CC28" s="66">
        <v>37.211811985121365</v>
      </c>
      <c r="CD28" s="66">
        <v>37.211811985121365</v>
      </c>
      <c r="CE28" s="66">
        <v>95.77983162665832</v>
      </c>
      <c r="CF28" s="29">
        <v>48.31829694043351</v>
      </c>
      <c r="CG28" s="30">
        <v>122.56913174937166</v>
      </c>
      <c r="CH28" s="31">
        <v>14.808545332751224</v>
      </c>
      <c r="CI28" s="31">
        <v>6.950765604502973</v>
      </c>
      <c r="CJ28" s="31">
        <v>1.9323635471477203</v>
      </c>
      <c r="CK28" s="31">
        <v>30.885085418173997</v>
      </c>
      <c r="CM28" s="5">
        <f t="shared" si="61"/>
        <v>116.945475711413</v>
      </c>
      <c r="CN28" s="26"/>
      <c r="CO28" s="26"/>
      <c r="CP28" s="1">
        <f t="shared" si="62"/>
        <v>3544.716470020839</v>
      </c>
      <c r="CQ28" s="1">
        <f t="shared" si="32"/>
        <v>3.544716470020839</v>
      </c>
      <c r="CR28" s="1"/>
      <c r="CS28" s="5">
        <f t="shared" si="63"/>
        <v>10.09616847284662</v>
      </c>
      <c r="CT28" s="1">
        <f t="shared" si="64"/>
        <v>19.039668402550653</v>
      </c>
      <c r="CU28" s="1"/>
      <c r="CV28" s="1">
        <f t="shared" si="65"/>
        <v>38.8556505951867</v>
      </c>
      <c r="CW28" s="1">
        <f t="shared" si="66"/>
        <v>6.061684371084814</v>
      </c>
      <c r="CX28" s="5">
        <f t="shared" si="67"/>
        <v>-0.9042397879063728</v>
      </c>
      <c r="CY28" s="5">
        <f t="shared" si="68"/>
        <v>37.211811985121365</v>
      </c>
      <c r="CZ28" s="5"/>
      <c r="DA28" s="21">
        <f t="shared" si="69"/>
        <v>0</v>
      </c>
      <c r="DB28" s="5">
        <f t="shared" si="33"/>
        <v>3772.022689771136</v>
      </c>
      <c r="DC28" s="5">
        <f t="shared" si="34"/>
        <v>3734.8108777860143</v>
      </c>
      <c r="DD28" s="5"/>
      <c r="DE28" s="21">
        <v>0</v>
      </c>
      <c r="DF28" s="21">
        <f t="shared" si="70"/>
        <v>0.12668310818397654</v>
      </c>
      <c r="DG28" s="21">
        <f t="shared" si="71"/>
        <v>0.2303199896455386</v>
      </c>
      <c r="DH28" s="21">
        <f t="shared" si="72"/>
        <v>0.33239960288485165</v>
      </c>
      <c r="DI28" s="21">
        <f t="shared" si="45"/>
        <v>3.008427180180523</v>
      </c>
      <c r="DJ28" s="21">
        <f t="shared" si="73"/>
        <v>6.328778216067095</v>
      </c>
      <c r="DL28" s="14">
        <f t="shared" si="74"/>
        <v>3.100338606884376</v>
      </c>
      <c r="DM28" s="14">
        <f t="shared" si="75"/>
        <v>0</v>
      </c>
      <c r="DN28" s="14">
        <f t="shared" si="35"/>
        <v>0</v>
      </c>
      <c r="DO28" s="14">
        <f t="shared" si="76"/>
        <v>93.97389044433112</v>
      </c>
      <c r="DP28" s="14">
        <f t="shared" si="77"/>
        <v>0.26765927204587403</v>
      </c>
      <c r="DQ28" s="14">
        <f t="shared" si="77"/>
        <v>0.5047601769252843</v>
      </c>
      <c r="DR28" s="14">
        <f t="shared" si="86"/>
        <v>1.0301011894905712</v>
      </c>
      <c r="DS28" s="14">
        <f t="shared" si="86"/>
        <v>0.160701164060405</v>
      </c>
      <c r="DT28" s="14"/>
      <c r="DU28" s="14">
        <f>100*(CY28/$DB28)</f>
        <v>0.9865214248586388</v>
      </c>
      <c r="DV28" s="14"/>
      <c r="DW28" s="14">
        <f t="shared" si="78"/>
        <v>3.1312288503544776</v>
      </c>
      <c r="DX28" s="14">
        <f t="shared" si="78"/>
        <v>0</v>
      </c>
      <c r="DY28" s="14">
        <f t="shared" si="79"/>
        <v>94.91019990072796</v>
      </c>
      <c r="DZ28" s="14">
        <f t="shared" si="80"/>
        <v>0.2703260969088641</v>
      </c>
      <c r="EA28" s="14">
        <f t="shared" si="80"/>
        <v>0.5097893581652336</v>
      </c>
      <c r="EB28" s="14">
        <f t="shared" si="81"/>
        <v>1.0403646092575436</v>
      </c>
      <c r="EC28" s="14">
        <f t="shared" si="81"/>
        <v>0.1623023111327705</v>
      </c>
      <c r="ED28" s="14">
        <f t="shared" si="81"/>
        <v>-0.024211126546852185</v>
      </c>
      <c r="EE28" s="14"/>
      <c r="EG28" s="14">
        <f t="shared" si="36"/>
        <v>3.8871331788817227</v>
      </c>
      <c r="EH28" s="14">
        <f t="shared" si="37"/>
        <v>95.9505645099855</v>
      </c>
      <c r="EI28" s="14">
        <f t="shared" si="38"/>
        <v>99.83769768886722</v>
      </c>
      <c r="EK28" s="14">
        <f t="shared" si="82"/>
        <v>93.97389044433112</v>
      </c>
      <c r="EL28" s="14"/>
      <c r="EM28" s="14">
        <f t="shared" si="83"/>
        <v>0.9865214248586388</v>
      </c>
      <c r="EN28" s="14">
        <f t="shared" si="84"/>
        <v>5.06356040940651</v>
      </c>
      <c r="EO28" s="14">
        <f t="shared" si="85"/>
        <v>100.02397227859626</v>
      </c>
      <c r="ES28" s="14"/>
    </row>
    <row r="29" spans="5:149" s="67" customFormat="1" ht="12.75">
      <c r="E29" s="85" t="s">
        <v>180</v>
      </c>
      <c r="F29" s="61">
        <v>4</v>
      </c>
      <c r="G29" s="3">
        <v>36499.520833333336</v>
      </c>
      <c r="H29" s="3">
        <v>36500.51388888889</v>
      </c>
      <c r="I29" s="68">
        <v>-52.86666666666667</v>
      </c>
      <c r="J29" s="68">
        <v>7.016666666666667</v>
      </c>
      <c r="K29" s="68">
        <v>-57.516666666666666</v>
      </c>
      <c r="L29" s="68">
        <v>4.366666666666666</v>
      </c>
      <c r="M29" s="68">
        <v>0.9222857142857143</v>
      </c>
      <c r="N29" s="68">
        <v>0.9374358974358975</v>
      </c>
      <c r="O29" s="68">
        <v>0.0472797442959969</v>
      </c>
      <c r="P29" s="68">
        <v>0.02669823174400077</v>
      </c>
      <c r="Q29" s="140">
        <v>3073.784999997498</v>
      </c>
      <c r="R29" s="87">
        <v>18.320597684809847</v>
      </c>
      <c r="S29" s="68">
        <v>15.797492746472926</v>
      </c>
      <c r="T29" s="68">
        <v>15.797492746472926</v>
      </c>
      <c r="U29" s="68">
        <v>11.148632535430123</v>
      </c>
      <c r="V29" s="68">
        <v>4.792389189849283</v>
      </c>
      <c r="W29" s="68">
        <v>2.0524047370550376</v>
      </c>
      <c r="X29" s="68">
        <v>44.10668719717051</v>
      </c>
      <c r="Y29" s="68">
        <v>7.6804693016341234</v>
      </c>
      <c r="Z29" s="68">
        <v>0</v>
      </c>
      <c r="AA29" s="68">
        <v>0</v>
      </c>
      <c r="AB29" s="68">
        <v>1668.2624991641626</v>
      </c>
      <c r="AC29" s="68">
        <v>17.17523959590821</v>
      </c>
      <c r="AD29" s="68">
        <v>4.982352243949142</v>
      </c>
      <c r="AE29" s="68">
        <v>0.09770130222993248</v>
      </c>
      <c r="AF29" s="68">
        <v>29.00757733260803</v>
      </c>
      <c r="AG29" s="68">
        <v>1.9107536458471484</v>
      </c>
      <c r="AH29" s="68">
        <v>29.00757733260803</v>
      </c>
      <c r="AI29" s="68">
        <v>1.9107536458471484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439.3898745862568</v>
      </c>
      <c r="AQ29" s="68">
        <v>1.7354982553449803</v>
      </c>
      <c r="AR29" s="70">
        <f t="shared" si="57"/>
        <v>193.42380495084774</v>
      </c>
      <c r="AS29" s="68">
        <v>4.421793499945826</v>
      </c>
      <c r="AT29" s="68">
        <v>1.0348194926416454</v>
      </c>
      <c r="AU29" s="87">
        <v>976.2661887468641</v>
      </c>
      <c r="AV29" s="87">
        <v>10.94712051313222</v>
      </c>
      <c r="AW29" s="87">
        <v>10.848053495518716</v>
      </c>
      <c r="AX29" s="87">
        <v>10.848053495518716</v>
      </c>
      <c r="AY29" s="87">
        <v>7.957005519470853</v>
      </c>
      <c r="AZ29" s="87">
        <v>7.957005519470853</v>
      </c>
      <c r="BA29" s="70"/>
      <c r="BB29" s="70"/>
      <c r="BC29" s="70"/>
      <c r="BD29" s="87">
        <v>46.02866747820735</v>
      </c>
      <c r="BE29" s="87">
        <v>46.02866747820735</v>
      </c>
      <c r="BF29" s="70">
        <f t="shared" si="58"/>
        <v>-71.12327517141634</v>
      </c>
      <c r="BG29" s="87">
        <v>26.49012434589766</v>
      </c>
      <c r="BH29" s="87">
        <v>26.49012434589766</v>
      </c>
      <c r="BI29" s="70"/>
      <c r="BJ29" s="70"/>
      <c r="BK29" s="87">
        <v>18.320597684809847</v>
      </c>
      <c r="BL29" s="87"/>
      <c r="BM29" s="87"/>
      <c r="BN29" s="89">
        <f t="shared" si="59"/>
        <v>0.9502996072426745</v>
      </c>
      <c r="BO29" s="89">
        <f t="shared" si="60"/>
        <v>0.39289717641191163</v>
      </c>
      <c r="BQ29" s="69">
        <v>-1.2931586032311517</v>
      </c>
      <c r="BR29" s="69">
        <v>-1.2931586032311517</v>
      </c>
      <c r="BS29" s="90">
        <v>29.40769563694498</v>
      </c>
      <c r="BT29" s="91">
        <v>713.1064362904027</v>
      </c>
      <c r="BU29" s="91">
        <v>713.1064362904027</v>
      </c>
      <c r="BV29" s="90">
        <v>116.56602154357795</v>
      </c>
      <c r="BW29" s="91">
        <v>132.96692634974866</v>
      </c>
      <c r="BX29" s="90">
        <v>55.184759553187526</v>
      </c>
      <c r="BY29" s="91">
        <v>95.62002153680184</v>
      </c>
      <c r="BZ29" s="90">
        <v>28.14024017805691</v>
      </c>
      <c r="CA29" s="91">
        <v>80.07352655926995</v>
      </c>
      <c r="CB29" s="90">
        <v>19.00048062792833</v>
      </c>
      <c r="CC29" s="92">
        <v>308.6604744458205</v>
      </c>
      <c r="CD29" s="92">
        <v>308.6604744458205</v>
      </c>
      <c r="CE29" s="92">
        <v>102.32548035917276</v>
      </c>
      <c r="CF29" s="69">
        <v>377.4452436909822</v>
      </c>
      <c r="CG29" s="90">
        <v>129.53884702111003</v>
      </c>
      <c r="CH29" s="71">
        <v>21.157685572458615</v>
      </c>
      <c r="CI29" s="71">
        <v>27.061894116196136</v>
      </c>
      <c r="CJ29" s="71">
        <v>0.04277260953702592</v>
      </c>
      <c r="CK29" s="71">
        <v>170.68906761125947</v>
      </c>
      <c r="CL29" s="93"/>
      <c r="CM29" s="87">
        <f t="shared" si="61"/>
        <v>193.4684216409217</v>
      </c>
      <c r="CN29" s="88"/>
      <c r="CO29" s="88"/>
      <c r="CP29" s="68">
        <f t="shared" si="62"/>
        <v>3083.8484728471158</v>
      </c>
      <c r="CQ29" s="68">
        <f t="shared" si="32"/>
        <v>3.083848472847116</v>
      </c>
      <c r="CR29" s="68"/>
      <c r="CS29" s="87">
        <f t="shared" si="63"/>
        <v>10.848053495518716</v>
      </c>
      <c r="CT29" s="68">
        <f t="shared" si="64"/>
        <v>29.00757733260803</v>
      </c>
      <c r="CU29" s="68">
        <f>CT29/BK29</f>
        <v>1.5833313864350111</v>
      </c>
      <c r="CV29" s="68">
        <f t="shared" si="65"/>
        <v>44.10668719717051</v>
      </c>
      <c r="CW29" s="68">
        <f t="shared" si="66"/>
        <v>25.011675436268035</v>
      </c>
      <c r="CX29" s="87">
        <f t="shared" si="67"/>
        <v>-1.2931586032311517</v>
      </c>
      <c r="CY29" s="87">
        <f t="shared" si="68"/>
        <v>308.6604744458205</v>
      </c>
      <c r="CZ29" s="47"/>
      <c r="DA29" s="21">
        <f t="shared" si="69"/>
        <v>0</v>
      </c>
      <c r="DB29" s="87">
        <f t="shared" si="33"/>
        <v>3693.6582037921926</v>
      </c>
      <c r="DC29" s="87">
        <f t="shared" si="34"/>
        <v>3384.997729346372</v>
      </c>
      <c r="DD29" s="87"/>
      <c r="DE29" s="89">
        <v>0</v>
      </c>
      <c r="DF29" s="89">
        <f t="shared" si="70"/>
        <v>0.10938511719296981</v>
      </c>
      <c r="DG29" s="89">
        <f t="shared" si="71"/>
        <v>0.14955833725878623</v>
      </c>
      <c r="DH29" s="89">
        <f t="shared" si="72"/>
        <v>0.2280313284519388</v>
      </c>
      <c r="DI29" s="89">
        <f t="shared" si="45"/>
        <v>4.385362339415418</v>
      </c>
      <c r="DJ29" s="21">
        <f t="shared" si="73"/>
        <v>6.614636394326956</v>
      </c>
      <c r="DL29" s="70">
        <f t="shared" si="74"/>
        <v>5.237853936844838</v>
      </c>
      <c r="DM29" s="70">
        <f t="shared" si="75"/>
        <v>0</v>
      </c>
      <c r="DN29" s="70">
        <f t="shared" si="35"/>
        <v>0</v>
      </c>
      <c r="DO29" s="70">
        <f t="shared" si="76"/>
        <v>83.49035841164189</v>
      </c>
      <c r="DP29" s="70">
        <f t="shared" si="77"/>
        <v>0.29369402627404106</v>
      </c>
      <c r="DQ29" s="70">
        <f t="shared" si="77"/>
        <v>0.7853346393238722</v>
      </c>
      <c r="DR29" s="70">
        <f t="shared" si="86"/>
        <v>1.1941193462862159</v>
      </c>
      <c r="DS29" s="70">
        <f t="shared" si="86"/>
        <v>0.6771518656108768</v>
      </c>
      <c r="DT29" s="70"/>
      <c r="DU29" s="70">
        <f>100*(CY29/$DB29)</f>
        <v>8.356498014053548</v>
      </c>
      <c r="DV29" s="70"/>
      <c r="DW29" s="70">
        <f t="shared" si="78"/>
        <v>5.715466807071672</v>
      </c>
      <c r="DX29" s="70">
        <f t="shared" si="78"/>
        <v>0</v>
      </c>
      <c r="DY29" s="70">
        <f t="shared" si="79"/>
        <v>91.10341333796383</v>
      </c>
      <c r="DZ29" s="70">
        <f t="shared" si="80"/>
        <v>0.3204744689035117</v>
      </c>
      <c r="EA29" s="70">
        <f t="shared" si="80"/>
        <v>0.8569452523151105</v>
      </c>
      <c r="EB29" s="70">
        <f t="shared" si="81"/>
        <v>1.3030049271462085</v>
      </c>
      <c r="EC29" s="70">
        <f t="shared" si="81"/>
        <v>0.7388978497512221</v>
      </c>
      <c r="ED29" s="70">
        <f t="shared" si="81"/>
        <v>-0.038202643151576204</v>
      </c>
      <c r="EE29" s="70"/>
      <c r="EG29" s="70">
        <f t="shared" si="36"/>
        <v>6.8546838851387175</v>
      </c>
      <c r="EH29" s="70">
        <f t="shared" si="37"/>
        <v>92.40641826511003</v>
      </c>
      <c r="EI29" s="70">
        <f t="shared" si="38"/>
        <v>99.26110215024875</v>
      </c>
      <c r="EK29" s="70">
        <f t="shared" si="82"/>
        <v>83.49035841164189</v>
      </c>
      <c r="EL29" s="70"/>
      <c r="EM29" s="70">
        <f t="shared" si="83"/>
        <v>8.356498014053548</v>
      </c>
      <c r="EN29" s="70">
        <f t="shared" si="84"/>
        <v>8.188153814339843</v>
      </c>
      <c r="EO29" s="70">
        <f t="shared" si="85"/>
        <v>100.03501024003528</v>
      </c>
      <c r="EP29" s="89"/>
      <c r="EQ29" s="89"/>
      <c r="ER29" s="89"/>
      <c r="ES29" s="14"/>
    </row>
    <row r="30" spans="5:149" ht="12.75">
      <c r="E30" s="13" t="s">
        <v>181</v>
      </c>
      <c r="F30" s="60">
        <v>5</v>
      </c>
      <c r="G30" s="3">
        <v>36502.006944444445</v>
      </c>
      <c r="H30" s="3">
        <v>36502.90277777778</v>
      </c>
      <c r="I30" s="1">
        <v>-66</v>
      </c>
      <c r="J30" s="1">
        <v>3.7333333333333334</v>
      </c>
      <c r="K30" s="1">
        <v>-70.1</v>
      </c>
      <c r="L30" s="1">
        <v>5.283333333333333</v>
      </c>
      <c r="M30" s="1">
        <v>0.3535897435897436</v>
      </c>
      <c r="N30" s="1">
        <v>0.3535897435897436</v>
      </c>
      <c r="O30" s="1">
        <v>0.015975729094764503</v>
      </c>
      <c r="P30" s="1">
        <v>0.011490409242523486</v>
      </c>
      <c r="Q30" s="139">
        <v>2725.555000007379</v>
      </c>
      <c r="R30" s="5">
        <v>11.805369936716378</v>
      </c>
      <c r="S30" s="1">
        <v>7.697484942486613</v>
      </c>
      <c r="T30" s="1">
        <v>7.697484942486613</v>
      </c>
      <c r="U30" s="1">
        <v>6.6742757393477765</v>
      </c>
      <c r="V30" s="1">
        <v>1.242075258102268</v>
      </c>
      <c r="W30" s="1">
        <v>1.242075258102268</v>
      </c>
      <c r="X30" s="1">
        <v>15.193299241761476</v>
      </c>
      <c r="Y30" s="1">
        <v>2.064231231263691</v>
      </c>
      <c r="Z30" s="1">
        <v>0</v>
      </c>
      <c r="AA30" s="1">
        <v>0</v>
      </c>
      <c r="AB30" s="1">
        <v>170.44558962124293</v>
      </c>
      <c r="AC30" s="1">
        <v>9.939619323215512</v>
      </c>
      <c r="AD30" s="1">
        <v>0</v>
      </c>
      <c r="AE30" s="1">
        <v>0</v>
      </c>
      <c r="AF30" s="1">
        <v>34.327680496500655</v>
      </c>
      <c r="AG30" s="1">
        <v>1.5975051272241043</v>
      </c>
      <c r="AH30" s="1">
        <v>34.327680496500655</v>
      </c>
      <c r="AI30" s="1">
        <v>1.5975051272241043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182.37076667299266</v>
      </c>
      <c r="AQ30" s="1">
        <v>5.357935110685404</v>
      </c>
      <c r="AR30" s="14">
        <f t="shared" si="57"/>
        <v>149.32843986850997</v>
      </c>
      <c r="AS30" s="1">
        <v>0</v>
      </c>
      <c r="AT30" s="1">
        <v>0</v>
      </c>
      <c r="AU30" s="5">
        <v>131.14860315716007</v>
      </c>
      <c r="AV30" s="5">
        <v>5.481393947657352</v>
      </c>
      <c r="AW30" s="5">
        <v>24.91120389733783</v>
      </c>
      <c r="AX30" s="5">
        <v>6.6337719210932455</v>
      </c>
      <c r="AY30" s="5">
        <v>2.3818220727009263</v>
      </c>
      <c r="AZ30" s="5">
        <v>2.3818220727009263</v>
      </c>
      <c r="BA30" s="14"/>
      <c r="BB30" s="14"/>
      <c r="BC30" s="14"/>
      <c r="BD30" s="5">
        <v>13.003619486810022</v>
      </c>
      <c r="BE30" s="5">
        <v>2.980315398283992</v>
      </c>
      <c r="BF30" s="14">
        <f t="shared" si="58"/>
        <v>-2.734212892049186</v>
      </c>
      <c r="BG30" s="5">
        <v>5.875766111697969</v>
      </c>
      <c r="BH30" s="5">
        <v>5.492062967766615</v>
      </c>
      <c r="BI30" s="14"/>
      <c r="BJ30" s="14"/>
      <c r="BK30" s="5">
        <v>11.805369936716378</v>
      </c>
      <c r="BL30" s="5"/>
      <c r="BM30" s="5"/>
      <c r="BN30" s="21">
        <f t="shared" si="59"/>
        <v>0.7227473527838115</v>
      </c>
      <c r="BO30" s="21">
        <f t="shared" si="60"/>
        <v>0.8262649629105161</v>
      </c>
      <c r="BQ30" s="29">
        <v>-2.0772607451623495</v>
      </c>
      <c r="BR30" s="29">
        <v>-2.0772607451623495</v>
      </c>
      <c r="BS30" s="30">
        <v>33.16642347451752</v>
      </c>
      <c r="BT30" s="65">
        <v>343.42281113458</v>
      </c>
      <c r="BU30" s="65">
        <v>343.42281113458</v>
      </c>
      <c r="BV30" s="30">
        <v>72.91953313656057</v>
      </c>
      <c r="BW30" s="65">
        <v>13.773803291266555</v>
      </c>
      <c r="BX30" s="30">
        <v>58.27400983864965</v>
      </c>
      <c r="BY30" s="65">
        <v>36.7408639117494</v>
      </c>
      <c r="BZ30" s="30">
        <v>24.622171516898064</v>
      </c>
      <c r="CA30" s="65">
        <v>35.39488981676173</v>
      </c>
      <c r="CB30" s="30">
        <v>26.51013185897815</v>
      </c>
      <c r="CC30" s="66">
        <v>85.9095570197777</v>
      </c>
      <c r="CD30" s="66">
        <v>85.9095570197777</v>
      </c>
      <c r="CE30" s="66">
        <v>109.40631321452587</v>
      </c>
      <c r="CF30" s="29">
        <v>107.85333441971838</v>
      </c>
      <c r="CG30" s="30">
        <v>139.91969640904378</v>
      </c>
      <c r="CH30" s="31">
        <v>6.271499045846491</v>
      </c>
      <c r="CI30" s="31">
        <v>8.27080997525247</v>
      </c>
      <c r="CJ30" s="31">
        <v>0.3101140563592068</v>
      </c>
      <c r="CK30" s="31">
        <v>42.39067175466821</v>
      </c>
      <c r="CL30" s="31"/>
      <c r="CM30" s="5">
        <f t="shared" si="61"/>
        <v>149.33443353770403</v>
      </c>
      <c r="CN30" s="26"/>
      <c r="CO30" s="26"/>
      <c r="CP30" s="1">
        <f t="shared" si="62"/>
        <v>360.61106419912505</v>
      </c>
      <c r="CQ30" s="1">
        <f t="shared" si="32"/>
        <v>0.36061106419912503</v>
      </c>
      <c r="CR30" s="1"/>
      <c r="CS30" s="5">
        <f t="shared" si="63"/>
        <v>24.91120389733783</v>
      </c>
      <c r="CT30" s="1">
        <f t="shared" si="64"/>
        <v>34.327680496500655</v>
      </c>
      <c r="CU30" s="1">
        <f>CT30/BK30</f>
        <v>2.9078021849816573</v>
      </c>
      <c r="CV30" s="1">
        <f t="shared" si="65"/>
        <v>15.193299241761476</v>
      </c>
      <c r="CW30" s="1">
        <f t="shared" si="66"/>
        <v>8.93956020058888</v>
      </c>
      <c r="CX30" s="5">
        <f t="shared" si="67"/>
        <v>-2.0772607451623495</v>
      </c>
      <c r="CY30" s="5">
        <f t="shared" si="68"/>
        <v>85.9095570197777</v>
      </c>
      <c r="CZ30" s="5"/>
      <c r="DA30" s="21">
        <f t="shared" si="69"/>
        <v>0</v>
      </c>
      <c r="DB30" s="5">
        <f t="shared" si="33"/>
        <v>677.1495378476333</v>
      </c>
      <c r="DC30" s="5">
        <f t="shared" si="34"/>
        <v>591.2399808278556</v>
      </c>
      <c r="DD30" s="5"/>
      <c r="DE30" s="21">
        <v>0</v>
      </c>
      <c r="DF30" s="21">
        <f t="shared" si="70"/>
        <v>0.04199802161844597</v>
      </c>
      <c r="DG30" s="21">
        <f t="shared" si="71"/>
        <v>0.44485750415702374</v>
      </c>
      <c r="DH30" s="21">
        <f t="shared" si="72"/>
        <v>0.10174417716504519</v>
      </c>
      <c r="DI30" s="21">
        <f t="shared" si="45"/>
        <v>9.828572286528411</v>
      </c>
      <c r="DJ30" s="21">
        <f t="shared" si="73"/>
        <v>3.4926416061010293</v>
      </c>
      <c r="DL30" s="14">
        <f t="shared" si="74"/>
        <v>22.05339074916508</v>
      </c>
      <c r="DM30" s="14">
        <f t="shared" si="75"/>
        <v>0</v>
      </c>
      <c r="DN30" s="14">
        <f t="shared" si="35"/>
        <v>0</v>
      </c>
      <c r="DO30" s="14">
        <f t="shared" si="76"/>
        <v>53.25427310271116</v>
      </c>
      <c r="DP30" s="14">
        <f t="shared" si="77"/>
        <v>3.678833478424842</v>
      </c>
      <c r="DQ30" s="14">
        <f t="shared" si="77"/>
        <v>5.0694386657360155</v>
      </c>
      <c r="DR30" s="14">
        <f t="shared" si="86"/>
        <v>2.2437140384167478</v>
      </c>
      <c r="DS30" s="14">
        <f t="shared" si="86"/>
        <v>1.3201751904023877</v>
      </c>
      <c r="DT30" s="14"/>
      <c r="DU30" s="14">
        <f>100*(CY30/$DB30)</f>
        <v>12.68694021306537</v>
      </c>
      <c r="DV30" s="14"/>
      <c r="DW30" s="14">
        <f t="shared" si="78"/>
        <v>25.257837490726796</v>
      </c>
      <c r="DX30" s="14">
        <f t="shared" si="78"/>
        <v>0</v>
      </c>
      <c r="DY30" s="14">
        <f t="shared" si="79"/>
        <v>60.992334059377484</v>
      </c>
      <c r="DZ30" s="14">
        <f t="shared" si="80"/>
        <v>4.213382840324348</v>
      </c>
      <c r="EA30" s="14">
        <f t="shared" si="80"/>
        <v>5.806048577505695</v>
      </c>
      <c r="EB30" s="14">
        <f t="shared" si="81"/>
        <v>2.5697347497521705</v>
      </c>
      <c r="EC30" s="14">
        <f t="shared" si="81"/>
        <v>1.5120019772803064</v>
      </c>
      <c r="ED30" s="14">
        <f t="shared" si="81"/>
        <v>-0.3513396949667992</v>
      </c>
      <c r="EE30" s="14"/>
      <c r="EG30" s="14">
        <f t="shared" si="36"/>
        <v>34.92592921359004</v>
      </c>
      <c r="EH30" s="14">
        <f t="shared" si="37"/>
        <v>63.562068809129656</v>
      </c>
      <c r="EI30" s="14">
        <f t="shared" si="38"/>
        <v>98.4879980227197</v>
      </c>
      <c r="EK30" s="14">
        <f t="shared" si="82"/>
        <v>53.25427310271116</v>
      </c>
      <c r="EL30" s="14"/>
      <c r="EM30" s="14">
        <f t="shared" si="83"/>
        <v>12.68694021306537</v>
      </c>
      <c r="EN30" s="14">
        <f t="shared" si="84"/>
        <v>34.365552122145075</v>
      </c>
      <c r="EO30" s="14">
        <f t="shared" si="85"/>
        <v>100.30676543792161</v>
      </c>
      <c r="EP30" s="21"/>
      <c r="EQ30" s="21"/>
      <c r="ER30" s="21"/>
      <c r="ES30" s="14"/>
    </row>
    <row r="63" spans="7:17" ht="12.75">
      <c r="G63" s="16"/>
      <c r="H63" s="16"/>
      <c r="I63" s="58"/>
      <c r="J63" s="58"/>
      <c r="K63" s="59"/>
      <c r="L63"/>
      <c r="M63"/>
      <c r="N63"/>
      <c r="O63"/>
      <c r="P63"/>
      <c r="Q63"/>
    </row>
    <row r="64" spans="7:17" ht="12.75">
      <c r="G64" s="16"/>
      <c r="H64" s="16"/>
      <c r="I64" s="58"/>
      <c r="J64" s="58"/>
      <c r="K64" s="59"/>
      <c r="L64"/>
      <c r="M64"/>
      <c r="N64"/>
      <c r="O64"/>
      <c r="P64"/>
      <c r="Q64"/>
    </row>
    <row r="65" spans="9:17" ht="12.75">
      <c r="I65" s="58"/>
      <c r="J65" s="58"/>
      <c r="K65" s="59"/>
      <c r="L65"/>
      <c r="M65"/>
      <c r="N65"/>
      <c r="O65"/>
      <c r="P65"/>
      <c r="Q65"/>
    </row>
    <row r="66" spans="9:17" ht="12.75">
      <c r="I66" s="58"/>
      <c r="J66" s="58"/>
      <c r="K66" s="59"/>
      <c r="L66"/>
      <c r="M66"/>
      <c r="N66"/>
      <c r="O66"/>
      <c r="P66"/>
      <c r="Q66"/>
    </row>
    <row r="67" spans="9:17" ht="12.75">
      <c r="I67" s="58"/>
      <c r="J67" s="58"/>
      <c r="K67" s="59"/>
      <c r="L67"/>
      <c r="M67"/>
      <c r="N67"/>
      <c r="O67"/>
      <c r="P67"/>
      <c r="Q67"/>
    </row>
    <row r="68" spans="9:17" ht="12.75">
      <c r="I68" s="58"/>
      <c r="J68" s="58"/>
      <c r="K68" s="59"/>
      <c r="L68"/>
      <c r="M68"/>
      <c r="N68"/>
      <c r="O68"/>
      <c r="P68"/>
      <c r="Q68"/>
    </row>
    <row r="69" spans="9:17" ht="12.75">
      <c r="I69" s="58"/>
      <c r="J69" s="58"/>
      <c r="K69" s="59"/>
      <c r="L69"/>
      <c r="M69"/>
      <c r="N69"/>
      <c r="O69"/>
      <c r="P69"/>
      <c r="Q69"/>
    </row>
    <row r="70" spans="11:17" ht="12.75">
      <c r="K70" s="59"/>
      <c r="L70"/>
      <c r="M70"/>
      <c r="N70"/>
      <c r="O70"/>
      <c r="P70"/>
      <c r="Q7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50"/>
  <sheetViews>
    <sheetView tabSelected="1" zoomScale="75" zoomScaleNormal="75" zoomScalePageLayoutView="0" workbookViewId="0" topLeftCell="J1">
      <selection activeCell="Z4" sqref="Z4"/>
    </sheetView>
  </sheetViews>
  <sheetFormatPr defaultColWidth="9.140625" defaultRowHeight="12.75"/>
  <cols>
    <col min="6" max="9" width="16.28125" style="0" customWidth="1"/>
    <col min="10" max="13" width="7.00390625" style="0" customWidth="1"/>
    <col min="14" max="17" width="8.57421875" style="0" customWidth="1"/>
    <col min="18" max="25" width="9.421875" style="24" customWidth="1"/>
    <col min="26" max="26" width="29.00390625" style="24" customWidth="1"/>
    <col min="27" max="27" width="9.421875" style="24" customWidth="1"/>
    <col min="28" max="28" width="9.421875" style="0" bestFit="1" customWidth="1"/>
    <col min="29" max="30" width="9.7109375" style="0" bestFit="1" customWidth="1"/>
    <col min="31" max="31" width="9.421875" style="0" bestFit="1" customWidth="1"/>
    <col min="32" max="33" width="9.7109375" style="0" bestFit="1" customWidth="1"/>
    <col min="34" max="36" width="9.421875" style="0" bestFit="1" customWidth="1"/>
    <col min="37" max="39" width="9.421875" style="0" customWidth="1"/>
    <col min="40" max="42" width="9.421875" style="0" bestFit="1" customWidth="1"/>
    <col min="43" max="44" width="10.7109375" style="0" bestFit="1" customWidth="1"/>
    <col min="45" max="51" width="10.7109375" style="0" customWidth="1"/>
    <col min="52" max="54" width="9.421875" style="0" bestFit="1" customWidth="1"/>
    <col min="55" max="58" width="9.421875" style="0" customWidth="1"/>
    <col min="59" max="59" width="9.421875" style="0" bestFit="1" customWidth="1"/>
    <col min="60" max="60" width="10.7109375" style="0" bestFit="1" customWidth="1"/>
    <col min="61" max="62" width="10.7109375" style="0" customWidth="1"/>
    <col min="63" max="63" width="10.7109375" style="0" bestFit="1" customWidth="1"/>
    <col min="64" max="67" width="10.7109375" style="0" customWidth="1"/>
    <col min="68" max="70" width="9.421875" style="0" bestFit="1" customWidth="1"/>
    <col min="71" max="72" width="9.421875" style="0" customWidth="1"/>
    <col min="73" max="75" width="9.421875" style="0" bestFit="1" customWidth="1"/>
    <col min="76" max="76" width="10.7109375" style="0" bestFit="1" customWidth="1"/>
    <col min="77" max="77" width="10.7109375" style="0" customWidth="1"/>
    <col min="78" max="78" width="10.7109375" style="0" bestFit="1" customWidth="1"/>
    <col min="79" max="79" width="10.7109375" style="0" customWidth="1"/>
    <col min="80" max="80" width="10.7109375" style="0" bestFit="1" customWidth="1"/>
    <col min="81" max="83" width="10.7109375" style="0" customWidth="1"/>
    <col min="84" max="85" width="9.421875" style="0" bestFit="1" customWidth="1"/>
    <col min="86" max="86" width="9.7109375" style="0" bestFit="1" customWidth="1"/>
    <col min="87" max="88" width="9.7109375" style="0" customWidth="1"/>
    <col min="90" max="92" width="10.7109375" style="0" bestFit="1" customWidth="1"/>
    <col min="93" max="103" width="10.7109375" style="0" customWidth="1"/>
    <col min="104" max="104" width="9.7109375" style="0" bestFit="1" customWidth="1"/>
    <col min="105" max="105" width="9.421875" style="0" bestFit="1" customWidth="1"/>
    <col min="106" max="106" width="9.7109375" style="0" bestFit="1" customWidth="1"/>
    <col min="107" max="107" width="9.7109375" style="0" customWidth="1"/>
    <col min="108" max="108" width="9.7109375" style="0" bestFit="1" customWidth="1"/>
    <col min="109" max="109" width="9.7109375" style="0" customWidth="1"/>
    <col min="110" max="110" width="9.7109375" style="0" bestFit="1" customWidth="1"/>
    <col min="111" max="111" width="9.7109375" style="0" customWidth="1"/>
    <col min="112" max="112" width="9.7109375" style="0" bestFit="1" customWidth="1"/>
    <col min="113" max="114" width="9.7109375" style="0" customWidth="1"/>
    <col min="115" max="115" width="9.7109375" style="0" bestFit="1" customWidth="1"/>
    <col min="116" max="116" width="9.7109375" style="0" customWidth="1"/>
    <col min="117" max="117" width="9.7109375" style="0" bestFit="1" customWidth="1"/>
    <col min="118" max="118" width="9.7109375" style="0" customWidth="1"/>
    <col min="119" max="119" width="9.7109375" style="0" bestFit="1" customWidth="1"/>
    <col min="120" max="120" width="9.7109375" style="0" customWidth="1"/>
    <col min="121" max="121" width="9.421875" style="0" bestFit="1" customWidth="1"/>
    <col min="122" max="122" width="9.421875" style="0" customWidth="1"/>
    <col min="123" max="123" width="9.7109375" style="0" bestFit="1" customWidth="1"/>
    <col min="124" max="124" width="9.7109375" style="0" customWidth="1"/>
    <col min="125" max="125" width="10.7109375" style="0" bestFit="1" customWidth="1"/>
    <col min="126" max="129" width="12.140625" style="0" customWidth="1"/>
    <col min="130" max="130" width="19.57421875" style="0" customWidth="1"/>
    <col min="131" max="131" width="12.140625" style="0" customWidth="1"/>
    <col min="132" max="132" width="9.28125" style="0" bestFit="1" customWidth="1"/>
    <col min="133" max="148" width="9.28125" style="0" customWidth="1"/>
    <col min="149" max="149" width="9.57421875" style="0" bestFit="1" customWidth="1"/>
    <col min="150" max="150" width="10.57421875" style="0" bestFit="1" customWidth="1"/>
    <col min="151" max="151" width="9.57421875" style="0" bestFit="1" customWidth="1"/>
    <col min="152" max="152" width="10.57421875" style="0" bestFit="1" customWidth="1"/>
    <col min="153" max="153" width="14.7109375" style="0" customWidth="1"/>
    <col min="154" max="154" width="15.28125" style="0" customWidth="1"/>
    <col min="156" max="156" width="17.57421875" style="0" customWidth="1"/>
    <col min="157" max="157" width="19.421875" style="0" customWidth="1"/>
    <col min="158" max="158" width="16.57421875" style="0" customWidth="1"/>
    <col min="159" max="159" width="18.57421875" style="0" customWidth="1"/>
    <col min="160" max="160" width="11.00390625" style="0" customWidth="1"/>
    <col min="161" max="161" width="9.57421875" style="0" bestFit="1" customWidth="1"/>
    <col min="163" max="163" width="9.57421875" style="0" bestFit="1" customWidth="1"/>
  </cols>
  <sheetData>
    <row r="1" spans="31:128" ht="15.75">
      <c r="AE1" t="s">
        <v>44</v>
      </c>
      <c r="AF1" t="s">
        <v>45</v>
      </c>
      <c r="AG1" t="s">
        <v>46</v>
      </c>
      <c r="AS1" s="34" t="s">
        <v>72</v>
      </c>
      <c r="AT1" s="35" t="s">
        <v>73</v>
      </c>
      <c r="BB1" s="34" t="s">
        <v>72</v>
      </c>
      <c r="BC1" s="35" t="s">
        <v>73</v>
      </c>
      <c r="DW1" t="s">
        <v>311</v>
      </c>
      <c r="DX1">
        <v>0.007</v>
      </c>
    </row>
    <row r="2" spans="30:172" ht="15.75">
      <c r="AD2" s="51" t="s">
        <v>28</v>
      </c>
      <c r="AE2" s="52" t="s">
        <v>4</v>
      </c>
      <c r="AF2" s="52" t="s">
        <v>4</v>
      </c>
      <c r="AG2" s="52" t="s">
        <v>4</v>
      </c>
      <c r="AS2" s="37" t="s">
        <v>7</v>
      </c>
      <c r="AT2" s="36">
        <v>1.7981900452488688</v>
      </c>
      <c r="BB2" t="s">
        <v>8</v>
      </c>
      <c r="BC2">
        <v>0.006207121855602744</v>
      </c>
      <c r="BY2" s="35" t="s">
        <v>195</v>
      </c>
      <c r="CA2" s="35" t="s">
        <v>195</v>
      </c>
      <c r="DE2" s="35" t="s">
        <v>187</v>
      </c>
      <c r="DG2" s="35" t="s">
        <v>187</v>
      </c>
      <c r="DL2" s="35" t="s">
        <v>186</v>
      </c>
      <c r="DN2" s="35" t="s">
        <v>186</v>
      </c>
      <c r="DR2" s="35" t="s">
        <v>188</v>
      </c>
      <c r="DT2" s="35" t="s">
        <v>188</v>
      </c>
      <c r="DW2" t="s">
        <v>312</v>
      </c>
      <c r="DX2">
        <v>0</v>
      </c>
      <c r="ES2" s="43"/>
      <c r="FL2" s="62"/>
      <c r="FM2" s="62"/>
      <c r="FN2" s="62"/>
      <c r="FO2" s="62"/>
      <c r="FP2" s="62"/>
    </row>
    <row r="3" spans="6:172" ht="15.75">
      <c r="F3" s="104" t="s">
        <v>331</v>
      </c>
      <c r="G3" s="27"/>
      <c r="H3" s="104" t="s">
        <v>334</v>
      </c>
      <c r="I3" s="27"/>
      <c r="J3" s="27" t="s">
        <v>60</v>
      </c>
      <c r="N3" s="27" t="s">
        <v>60</v>
      </c>
      <c r="P3" t="s">
        <v>100</v>
      </c>
      <c r="AB3" s="10" t="s">
        <v>109</v>
      </c>
      <c r="AD3" s="60" t="s">
        <v>148</v>
      </c>
      <c r="AE3" s="14">
        <v>2.0451016010958143</v>
      </c>
      <c r="AF3" s="14">
        <v>589.7489823375124</v>
      </c>
      <c r="AG3" s="14">
        <v>591.7940839386083</v>
      </c>
      <c r="AT3" s="46" t="s">
        <v>342</v>
      </c>
      <c r="AV3" t="s">
        <v>274</v>
      </c>
      <c r="AX3" t="s">
        <v>278</v>
      </c>
      <c r="BC3" s="46" t="s">
        <v>342</v>
      </c>
      <c r="BE3" s="63" t="s">
        <v>293</v>
      </c>
      <c r="BY3" s="62">
        <v>0.2519457013574661</v>
      </c>
      <c r="CA3" s="62">
        <v>0.2519457013574661</v>
      </c>
      <c r="CL3" t="s">
        <v>44</v>
      </c>
      <c r="CM3" t="s">
        <v>45</v>
      </c>
      <c r="DE3" s="36">
        <v>0.03764705882352941</v>
      </c>
      <c r="DG3" s="36">
        <v>0.03764705882352941</v>
      </c>
      <c r="DI3" s="14"/>
      <c r="DJ3" s="14"/>
      <c r="DL3" s="36">
        <v>0.12</v>
      </c>
      <c r="DN3" s="36">
        <v>0.12</v>
      </c>
      <c r="DR3" s="36">
        <v>0.03819004524886878</v>
      </c>
      <c r="DT3" s="36">
        <v>0.03819004524886878</v>
      </c>
      <c r="DW3" s="62" t="s">
        <v>316</v>
      </c>
      <c r="DX3" s="5">
        <v>2000</v>
      </c>
      <c r="EC3" s="28" t="s">
        <v>236</v>
      </c>
      <c r="EI3" s="28" t="s">
        <v>236</v>
      </c>
      <c r="ES3" s="103" t="s">
        <v>336</v>
      </c>
      <c r="ET3" s="106"/>
      <c r="EU3" s="106"/>
      <c r="EV3" s="1"/>
      <c r="EW3" s="1"/>
      <c r="EX3" s="1"/>
      <c r="EY3" s="1"/>
      <c r="FE3" s="62"/>
      <c r="FG3" s="62"/>
      <c r="FH3" s="62"/>
      <c r="FI3" s="62"/>
      <c r="FL3" s="62"/>
      <c r="FM3" s="62"/>
      <c r="FN3" s="62"/>
      <c r="FO3" s="62"/>
      <c r="FP3" s="62"/>
    </row>
    <row r="4" spans="1:172" ht="15.75">
      <c r="A4" s="46" t="s">
        <v>332</v>
      </c>
      <c r="F4" s="27"/>
      <c r="G4" s="27"/>
      <c r="H4" s="27" t="s">
        <v>61</v>
      </c>
      <c r="I4" s="27" t="s">
        <v>62</v>
      </c>
      <c r="J4" t="s">
        <v>50</v>
      </c>
      <c r="L4" t="s">
        <v>51</v>
      </c>
      <c r="N4" t="s">
        <v>52</v>
      </c>
      <c r="R4" s="42"/>
      <c r="S4" s="55" t="s">
        <v>108</v>
      </c>
      <c r="T4" s="55"/>
      <c r="U4" s="10" t="s">
        <v>79</v>
      </c>
      <c r="V4" s="46"/>
      <c r="W4" s="46"/>
      <c r="X4"/>
      <c r="Y4"/>
      <c r="Z4" s="149" t="s">
        <v>350</v>
      </c>
      <c r="AA4"/>
      <c r="AB4" t="s">
        <v>44</v>
      </c>
      <c r="AC4" t="s">
        <v>45</v>
      </c>
      <c r="AD4" t="s">
        <v>46</v>
      </c>
      <c r="AE4" t="s">
        <v>44</v>
      </c>
      <c r="AF4" t="s">
        <v>45</v>
      </c>
      <c r="AG4" t="s">
        <v>46</v>
      </c>
      <c r="AH4" t="s">
        <v>44</v>
      </c>
      <c r="AI4" t="s">
        <v>45</v>
      </c>
      <c r="AJ4" t="s">
        <v>46</v>
      </c>
      <c r="AL4" s="41" t="s">
        <v>305</v>
      </c>
      <c r="AM4" s="41" t="s">
        <v>308</v>
      </c>
      <c r="AN4" t="s">
        <v>44</v>
      </c>
      <c r="AO4" t="s">
        <v>45</v>
      </c>
      <c r="AP4" t="s">
        <v>46</v>
      </c>
      <c r="AQ4" t="s">
        <v>44</v>
      </c>
      <c r="AR4" t="s">
        <v>45</v>
      </c>
      <c r="AS4" t="s">
        <v>46</v>
      </c>
      <c r="AT4" t="s">
        <v>44</v>
      </c>
      <c r="AU4" t="s">
        <v>45</v>
      </c>
      <c r="AV4" t="s">
        <v>44</v>
      </c>
      <c r="AW4" t="s">
        <v>45</v>
      </c>
      <c r="AX4" t="s">
        <v>44</v>
      </c>
      <c r="AY4" t="s">
        <v>45</v>
      </c>
      <c r="AZ4" t="s">
        <v>44</v>
      </c>
      <c r="BA4" t="s">
        <v>45</v>
      </c>
      <c r="BB4" t="s">
        <v>46</v>
      </c>
      <c r="BC4" t="s">
        <v>44</v>
      </c>
      <c r="BD4" t="s">
        <v>45</v>
      </c>
      <c r="BE4" t="s">
        <v>44</v>
      </c>
      <c r="BF4" t="s">
        <v>45</v>
      </c>
      <c r="BG4" t="s">
        <v>44</v>
      </c>
      <c r="BH4" t="s">
        <v>45</v>
      </c>
      <c r="BI4" s="41" t="s">
        <v>305</v>
      </c>
      <c r="BJ4" s="41" t="s">
        <v>308</v>
      </c>
      <c r="BK4" t="s">
        <v>46</v>
      </c>
      <c r="BL4" t="s">
        <v>44</v>
      </c>
      <c r="BM4" t="s">
        <v>45</v>
      </c>
      <c r="BN4" t="s">
        <v>46</v>
      </c>
      <c r="BP4" t="s">
        <v>44</v>
      </c>
      <c r="BQ4" t="s">
        <v>45</v>
      </c>
      <c r="BR4" t="s">
        <v>46</v>
      </c>
      <c r="BS4" s="41" t="s">
        <v>305</v>
      </c>
      <c r="BT4" s="41" t="s">
        <v>308</v>
      </c>
      <c r="BU4" t="s">
        <v>44</v>
      </c>
      <c r="BV4" t="s">
        <v>45</v>
      </c>
      <c r="BW4" t="s">
        <v>46</v>
      </c>
      <c r="BX4" t="s">
        <v>44</v>
      </c>
      <c r="BZ4" t="s">
        <v>45</v>
      </c>
      <c r="CB4" t="s">
        <v>46</v>
      </c>
      <c r="CD4" s="41" t="s">
        <v>305</v>
      </c>
      <c r="CE4" s="41" t="s">
        <v>308</v>
      </c>
      <c r="CF4" t="s">
        <v>44</v>
      </c>
      <c r="CG4" t="s">
        <v>45</v>
      </c>
      <c r="CH4" t="s">
        <v>46</v>
      </c>
      <c r="CI4" s="41" t="s">
        <v>305</v>
      </c>
      <c r="CJ4" s="41" t="s">
        <v>308</v>
      </c>
      <c r="CL4" t="s">
        <v>44</v>
      </c>
      <c r="CM4" t="s">
        <v>303</v>
      </c>
      <c r="CN4" t="s">
        <v>46</v>
      </c>
      <c r="CO4" t="s">
        <v>266</v>
      </c>
      <c r="CQ4" t="s">
        <v>267</v>
      </c>
      <c r="CS4" t="s">
        <v>44</v>
      </c>
      <c r="CT4" t="s">
        <v>45</v>
      </c>
      <c r="CU4" t="s">
        <v>46</v>
      </c>
      <c r="CV4" s="41" t="s">
        <v>305</v>
      </c>
      <c r="CW4" s="41" t="s">
        <v>308</v>
      </c>
      <c r="CY4" t="s">
        <v>46</v>
      </c>
      <c r="CZ4" t="s">
        <v>44</v>
      </c>
      <c r="DA4" t="s">
        <v>45</v>
      </c>
      <c r="DB4" t="s">
        <v>46</v>
      </c>
      <c r="DC4" s="41" t="s">
        <v>305</v>
      </c>
      <c r="DD4" t="s">
        <v>44</v>
      </c>
      <c r="DE4" s="36"/>
      <c r="DF4" t="s">
        <v>45</v>
      </c>
      <c r="DH4" t="s">
        <v>46</v>
      </c>
      <c r="DJ4" s="41" t="s">
        <v>305</v>
      </c>
      <c r="DK4" t="s">
        <v>44</v>
      </c>
      <c r="DM4" t="s">
        <v>45</v>
      </c>
      <c r="DO4" t="s">
        <v>46</v>
      </c>
      <c r="DQ4" t="s">
        <v>44</v>
      </c>
      <c r="DS4" t="s">
        <v>45</v>
      </c>
      <c r="DU4" t="s">
        <v>46</v>
      </c>
      <c r="DV4" s="11"/>
      <c r="DW4" s="62" t="s">
        <v>315</v>
      </c>
      <c r="DX4" s="5">
        <v>0</v>
      </c>
      <c r="DY4" s="41" t="s">
        <v>305</v>
      </c>
      <c r="DZ4" s="11"/>
      <c r="EA4" s="11"/>
      <c r="EB4" s="33" t="s">
        <v>83</v>
      </c>
      <c r="EC4" s="28" t="s">
        <v>243</v>
      </c>
      <c r="ED4" s="33"/>
      <c r="EE4" s="33"/>
      <c r="EF4" s="33"/>
      <c r="EG4" s="33"/>
      <c r="EH4" s="33"/>
      <c r="EI4" s="28" t="s">
        <v>87</v>
      </c>
      <c r="EJ4" s="33"/>
      <c r="EK4" s="33"/>
      <c r="EL4" s="33"/>
      <c r="EM4" s="33"/>
      <c r="EN4" s="33"/>
      <c r="EO4" s="55" t="s">
        <v>296</v>
      </c>
      <c r="EP4" s="33"/>
      <c r="EQ4" s="33"/>
      <c r="ER4" s="33"/>
      <c r="ES4" s="103" t="s">
        <v>324</v>
      </c>
      <c r="ET4" s="103"/>
      <c r="EU4" s="103" t="s">
        <v>325</v>
      </c>
      <c r="EV4" s="43"/>
      <c r="EW4" s="43"/>
      <c r="EX4" s="43"/>
      <c r="EY4" s="1"/>
      <c r="FE4" s="78"/>
      <c r="FG4" s="78"/>
      <c r="FH4" s="62"/>
      <c r="FI4" s="62"/>
      <c r="FL4" s="62"/>
      <c r="FM4" s="62"/>
      <c r="FN4" s="62"/>
      <c r="FO4" s="62"/>
      <c r="FP4" s="62"/>
    </row>
    <row r="5" spans="1:172" s="51" customFormat="1" ht="19.5">
      <c r="A5" s="27" t="s">
        <v>215</v>
      </c>
      <c r="B5" s="27" t="s">
        <v>94</v>
      </c>
      <c r="C5" s="27" t="s">
        <v>95</v>
      </c>
      <c r="D5" s="51" t="s">
        <v>333</v>
      </c>
      <c r="E5" s="51" t="s">
        <v>319</v>
      </c>
      <c r="F5" s="80" t="s">
        <v>271</v>
      </c>
      <c r="G5" s="80" t="s">
        <v>272</v>
      </c>
      <c r="H5" s="49" t="s">
        <v>0</v>
      </c>
      <c r="I5" s="49" t="s">
        <v>0</v>
      </c>
      <c r="J5" s="50" t="s">
        <v>53</v>
      </c>
      <c r="K5" s="50" t="s">
        <v>54</v>
      </c>
      <c r="L5" s="50" t="s">
        <v>53</v>
      </c>
      <c r="M5" s="50" t="s">
        <v>54</v>
      </c>
      <c r="N5" s="50" t="s">
        <v>53</v>
      </c>
      <c r="O5" s="50" t="s">
        <v>54</v>
      </c>
      <c r="P5" s="50" t="s">
        <v>53</v>
      </c>
      <c r="Q5" s="50" t="s">
        <v>54</v>
      </c>
      <c r="R5" s="28" t="s">
        <v>63</v>
      </c>
      <c r="S5" s="28" t="s">
        <v>110</v>
      </c>
      <c r="T5" s="28" t="s">
        <v>111</v>
      </c>
      <c r="U5" s="28" t="s">
        <v>63</v>
      </c>
      <c r="V5" s="28" t="s">
        <v>110</v>
      </c>
      <c r="W5" s="28" t="s">
        <v>111</v>
      </c>
      <c r="X5" s="5" t="s">
        <v>59</v>
      </c>
      <c r="Y5" s="5"/>
      <c r="Z5" s="150" t="s">
        <v>349</v>
      </c>
      <c r="AA5" s="148"/>
      <c r="AB5" s="52" t="s">
        <v>3</v>
      </c>
      <c r="AC5" s="52" t="s">
        <v>3</v>
      </c>
      <c r="AD5" s="52" t="s">
        <v>3</v>
      </c>
      <c r="AE5" s="52" t="s">
        <v>4</v>
      </c>
      <c r="AF5" s="52" t="s">
        <v>4</v>
      </c>
      <c r="AG5" s="52" t="s">
        <v>4</v>
      </c>
      <c r="AH5" s="52" t="s">
        <v>5</v>
      </c>
      <c r="AI5" s="52" t="s">
        <v>5</v>
      </c>
      <c r="AJ5" s="52" t="s">
        <v>5</v>
      </c>
      <c r="AK5" s="52"/>
      <c r="AL5" s="52" t="s">
        <v>5</v>
      </c>
      <c r="AM5" s="52" t="s">
        <v>5</v>
      </c>
      <c r="AN5" s="52" t="s">
        <v>6</v>
      </c>
      <c r="AO5" s="52" t="s">
        <v>6</v>
      </c>
      <c r="AP5" s="52" t="s">
        <v>6</v>
      </c>
      <c r="AQ5" s="52" t="s">
        <v>7</v>
      </c>
      <c r="AR5" s="52" t="s">
        <v>7</v>
      </c>
      <c r="AS5" s="52" t="s">
        <v>7</v>
      </c>
      <c r="AT5" s="52" t="s">
        <v>7</v>
      </c>
      <c r="AU5" s="52" t="s">
        <v>7</v>
      </c>
      <c r="AV5" s="52" t="s">
        <v>275</v>
      </c>
      <c r="AW5" s="52" t="s">
        <v>276</v>
      </c>
      <c r="AX5" s="52" t="s">
        <v>279</v>
      </c>
      <c r="AY5" s="52" t="s">
        <v>280</v>
      </c>
      <c r="AZ5" s="52" t="s">
        <v>8</v>
      </c>
      <c r="BA5" s="52" t="s">
        <v>8</v>
      </c>
      <c r="BB5" s="52" t="s">
        <v>8</v>
      </c>
      <c r="BC5" s="52" t="s">
        <v>8</v>
      </c>
      <c r="BD5" s="52" t="s">
        <v>8</v>
      </c>
      <c r="BE5" s="52" t="s">
        <v>8</v>
      </c>
      <c r="BF5" s="52" t="s">
        <v>8</v>
      </c>
      <c r="BG5" s="52" t="s">
        <v>9</v>
      </c>
      <c r="BH5" s="52" t="s">
        <v>9</v>
      </c>
      <c r="BI5" s="52" t="s">
        <v>9</v>
      </c>
      <c r="BJ5" s="52" t="s">
        <v>9</v>
      </c>
      <c r="BK5" s="52" t="s">
        <v>9</v>
      </c>
      <c r="BL5" s="52" t="s">
        <v>277</v>
      </c>
      <c r="BM5" s="52" t="s">
        <v>277</v>
      </c>
      <c r="BN5" s="52" t="s">
        <v>277</v>
      </c>
      <c r="BO5" s="52" t="s">
        <v>281</v>
      </c>
      <c r="BP5" s="52" t="s">
        <v>11</v>
      </c>
      <c r="BQ5" s="52" t="s">
        <v>11</v>
      </c>
      <c r="BR5" s="52" t="s">
        <v>11</v>
      </c>
      <c r="BS5" s="52" t="s">
        <v>11</v>
      </c>
      <c r="BT5" s="52" t="s">
        <v>11</v>
      </c>
      <c r="BU5" s="52" t="s">
        <v>12</v>
      </c>
      <c r="BV5" s="52" t="s">
        <v>12</v>
      </c>
      <c r="BW5" s="52" t="s">
        <v>12</v>
      </c>
      <c r="BX5" s="52" t="s">
        <v>13</v>
      </c>
      <c r="BY5" s="52" t="s">
        <v>196</v>
      </c>
      <c r="BZ5" s="52" t="s">
        <v>13</v>
      </c>
      <c r="CA5" s="52" t="s">
        <v>197</v>
      </c>
      <c r="CB5" s="52" t="s">
        <v>13</v>
      </c>
      <c r="CC5" s="63" t="s">
        <v>198</v>
      </c>
      <c r="CD5" s="63" t="s">
        <v>306</v>
      </c>
      <c r="CE5" s="63" t="s">
        <v>309</v>
      </c>
      <c r="CF5" s="52" t="s">
        <v>14</v>
      </c>
      <c r="CG5" s="52" t="s">
        <v>14</v>
      </c>
      <c r="CH5" s="52" t="s">
        <v>14</v>
      </c>
      <c r="CI5" s="52" t="s">
        <v>14</v>
      </c>
      <c r="CJ5" s="52" t="s">
        <v>14</v>
      </c>
      <c r="CK5" s="52"/>
      <c r="CL5" s="52" t="s">
        <v>15</v>
      </c>
      <c r="CM5" s="52" t="s">
        <v>15</v>
      </c>
      <c r="CN5" s="52" t="s">
        <v>15</v>
      </c>
      <c r="CO5" s="52" t="s">
        <v>264</v>
      </c>
      <c r="CP5" s="52" t="s">
        <v>265</v>
      </c>
      <c r="CQ5" s="52" t="s">
        <v>264</v>
      </c>
      <c r="CR5" s="52" t="s">
        <v>265</v>
      </c>
      <c r="CS5" s="10" t="s">
        <v>211</v>
      </c>
      <c r="CT5" s="10" t="s">
        <v>211</v>
      </c>
      <c r="CU5" s="10" t="s">
        <v>270</v>
      </c>
      <c r="CV5" s="10" t="s">
        <v>270</v>
      </c>
      <c r="CW5" s="10" t="s">
        <v>270</v>
      </c>
      <c r="CX5" s="10"/>
      <c r="CY5" s="10" t="s">
        <v>211</v>
      </c>
      <c r="CZ5" s="52" t="s">
        <v>17</v>
      </c>
      <c r="DA5" s="52" t="s">
        <v>17</v>
      </c>
      <c r="DB5" s="52" t="s">
        <v>17</v>
      </c>
      <c r="DC5" s="52" t="s">
        <v>17</v>
      </c>
      <c r="DD5" s="52" t="s">
        <v>19</v>
      </c>
      <c r="DE5" s="52" t="s">
        <v>113</v>
      </c>
      <c r="DF5" s="52" t="s">
        <v>19</v>
      </c>
      <c r="DG5" s="52" t="s">
        <v>114</v>
      </c>
      <c r="DH5" s="52" t="s">
        <v>19</v>
      </c>
      <c r="DI5" s="63" t="s">
        <v>201</v>
      </c>
      <c r="DJ5" s="63" t="s">
        <v>201</v>
      </c>
      <c r="DK5" s="52" t="s">
        <v>21</v>
      </c>
      <c r="DL5" s="52" t="s">
        <v>199</v>
      </c>
      <c r="DM5" s="52" t="s">
        <v>21</v>
      </c>
      <c r="DN5" s="64" t="s">
        <v>190</v>
      </c>
      <c r="DO5" s="52" t="s">
        <v>21</v>
      </c>
      <c r="DP5" s="64" t="s">
        <v>185</v>
      </c>
      <c r="DQ5" s="52" t="s">
        <v>23</v>
      </c>
      <c r="DR5" s="52" t="s">
        <v>191</v>
      </c>
      <c r="DS5" s="52" t="s">
        <v>23</v>
      </c>
      <c r="DT5" s="52" t="s">
        <v>200</v>
      </c>
      <c r="DU5" s="52" t="s">
        <v>23</v>
      </c>
      <c r="DV5" s="53" t="s">
        <v>184</v>
      </c>
      <c r="DW5" s="2" t="s">
        <v>314</v>
      </c>
      <c r="DX5" s="14">
        <f>SUM(DX13:DX19)</f>
        <v>3424.599148893661</v>
      </c>
      <c r="DY5" s="53" t="s">
        <v>307</v>
      </c>
      <c r="DZ5" s="53" t="s">
        <v>289</v>
      </c>
      <c r="EA5" s="53" t="s">
        <v>290</v>
      </c>
      <c r="EB5" s="42" t="s">
        <v>3</v>
      </c>
      <c r="EC5" s="42" t="s">
        <v>238</v>
      </c>
      <c r="ED5" s="42" t="s">
        <v>237</v>
      </c>
      <c r="EE5" s="51" t="s">
        <v>241</v>
      </c>
      <c r="EF5" s="42" t="s">
        <v>239</v>
      </c>
      <c r="EG5" s="42" t="s">
        <v>242</v>
      </c>
      <c r="EH5" s="42" t="s">
        <v>240</v>
      </c>
      <c r="EI5" s="42" t="s">
        <v>238</v>
      </c>
      <c r="EJ5" s="42" t="s">
        <v>237</v>
      </c>
      <c r="EK5" s="51" t="s">
        <v>241</v>
      </c>
      <c r="EL5" s="42" t="s">
        <v>239</v>
      </c>
      <c r="EM5" s="42" t="s">
        <v>242</v>
      </c>
      <c r="EN5" s="42" t="s">
        <v>240</v>
      </c>
      <c r="EO5" s="101" t="s">
        <v>297</v>
      </c>
      <c r="EP5" s="101" t="s">
        <v>298</v>
      </c>
      <c r="EQ5" s="101" t="s">
        <v>299</v>
      </c>
      <c r="ER5" s="101"/>
      <c r="ES5" s="75" t="s">
        <v>253</v>
      </c>
      <c r="ET5" s="75" t="s">
        <v>254</v>
      </c>
      <c r="EU5" s="75" t="s">
        <v>255</v>
      </c>
      <c r="EV5" s="75" t="s">
        <v>256</v>
      </c>
      <c r="EW5" s="76" t="s">
        <v>257</v>
      </c>
      <c r="EX5" s="76" t="s">
        <v>258</v>
      </c>
      <c r="EY5" s="43"/>
      <c r="EZ5" s="75" t="s">
        <v>259</v>
      </c>
      <c r="FA5" s="75" t="s">
        <v>260</v>
      </c>
      <c r="FB5" s="75" t="s">
        <v>269</v>
      </c>
      <c r="FC5" s="75"/>
      <c r="FF5" s="52"/>
      <c r="FG5" s="52"/>
      <c r="FI5" s="52"/>
      <c r="FK5" s="52"/>
      <c r="FL5" s="52"/>
      <c r="FN5" s="52"/>
      <c r="FP5" s="52"/>
    </row>
    <row r="6" spans="1:157" ht="12.75">
      <c r="A6" s="73">
        <v>83.33333333333333</v>
      </c>
      <c r="B6" s="7">
        <v>20</v>
      </c>
      <c r="C6" s="7">
        <v>230</v>
      </c>
      <c r="D6" s="60" t="s">
        <v>143</v>
      </c>
      <c r="E6" s="60">
        <v>1</v>
      </c>
      <c r="F6" s="13">
        <v>36472.67847222222</v>
      </c>
      <c r="G6" s="13">
        <v>36473.677083333336</v>
      </c>
      <c r="H6" s="8">
        <v>36472.67847222222</v>
      </c>
      <c r="I6" s="8">
        <v>36473.677083333336</v>
      </c>
      <c r="J6" s="11">
        <v>50.38333333333333</v>
      </c>
      <c r="K6">
        <v>-0.6666666666666666</v>
      </c>
      <c r="L6" s="11">
        <v>46.766666666666666</v>
      </c>
      <c r="M6">
        <v>-7.183333333333334</v>
      </c>
      <c r="N6" s="14">
        <v>49.12771554262874</v>
      </c>
      <c r="O6" s="21">
        <v>-3.920468242923149</v>
      </c>
      <c r="P6" s="14">
        <v>49.12771554262874</v>
      </c>
      <c r="Q6" s="21">
        <v>-3.920468242923149</v>
      </c>
      <c r="R6" s="5">
        <v>177.36412212533963</v>
      </c>
      <c r="S6" s="5">
        <v>1014.3393826549111</v>
      </c>
      <c r="T6" s="54">
        <v>2461.7691809158196</v>
      </c>
      <c r="U6" s="29">
        <f>R6</f>
        <v>177.36412212533963</v>
      </c>
      <c r="V6" s="29">
        <f>S6</f>
        <v>1014.3393826549111</v>
      </c>
      <c r="W6" s="29">
        <f>T6</f>
        <v>2461.7691809158196</v>
      </c>
      <c r="X6" s="1">
        <f>'HV'!BK7</f>
        <v>60.466919770676846</v>
      </c>
      <c r="Y6" s="1"/>
      <c r="Z6" s="151">
        <v>15.81800000004354</v>
      </c>
      <c r="AA6" s="148"/>
      <c r="AB6" s="14">
        <v>2.4648954577502007</v>
      </c>
      <c r="AC6" s="14">
        <v>11.819881775754542</v>
      </c>
      <c r="AD6" s="14">
        <v>14.284777233504743</v>
      </c>
      <c r="AE6" s="14">
        <v>12.039736569006815</v>
      </c>
      <c r="AF6" s="14">
        <v>7.997446333913071</v>
      </c>
      <c r="AG6" s="14">
        <v>20.037182902919884</v>
      </c>
      <c r="AH6" s="14"/>
      <c r="AI6" s="14"/>
      <c r="AJ6" s="14"/>
      <c r="AK6" s="14"/>
      <c r="AL6" s="6"/>
      <c r="AM6" s="6"/>
      <c r="AN6" s="14">
        <v>0</v>
      </c>
      <c r="AO6" s="14">
        <v>0</v>
      </c>
      <c r="AP6" s="14">
        <v>0</v>
      </c>
      <c r="AQ6" s="14">
        <v>169.44324364831348</v>
      </c>
      <c r="AR6" s="14">
        <v>3210.9828498652923</v>
      </c>
      <c r="AS6" s="14">
        <v>3380.4260935136053</v>
      </c>
      <c r="AT6" s="14">
        <f aca="true" t="shared" si="0" ref="AT6:AT15">$AT$2*CL6</f>
        <v>381.15813657545675</v>
      </c>
      <c r="AU6" s="14">
        <f aca="true" t="shared" si="1" ref="AU6:AU15">$AT$2*CM6</f>
        <v>4061.0947023464882</v>
      </c>
      <c r="AV6" s="14">
        <f>100*(AT6-AQ6)/AT6</f>
        <v>55.54515898028867</v>
      </c>
      <c r="AW6" s="14">
        <f>100*(AU6-AR6)/AU6</f>
        <v>20.933071370879478</v>
      </c>
      <c r="AX6" s="1">
        <f aca="true" t="shared" si="2" ref="AX6:AX15">AQ6/CL6</f>
        <v>0.7993825258476599</v>
      </c>
      <c r="AY6" s="1">
        <f aca="true" t="shared" si="3" ref="AY6:AY15">AR6/CM6</f>
        <v>1.4217736396928733</v>
      </c>
      <c r="AZ6" s="14">
        <v>0</v>
      </c>
      <c r="BA6" s="14">
        <v>2.556601115810386</v>
      </c>
      <c r="BB6" s="14">
        <v>2.556601115810386</v>
      </c>
      <c r="BC6" s="1">
        <f>$BC$2*CL6</f>
        <v>1.3157090966160332</v>
      </c>
      <c r="BD6" s="1">
        <f>$BC$2*CM6</f>
        <v>14.01837906466592</v>
      </c>
      <c r="BE6" s="14">
        <f>100*(BC6-AZ6)/BC6</f>
        <v>99.99999999999999</v>
      </c>
      <c r="BF6" s="14">
        <f>100*(BD6-BA6)/BD6</f>
        <v>81.762505465026</v>
      </c>
      <c r="BG6" s="14">
        <v>44.91075085270228</v>
      </c>
      <c r="BH6" s="14">
        <v>1081.2630358055962</v>
      </c>
      <c r="BI6" s="6">
        <v>566.877167288236</v>
      </c>
      <c r="BJ6" s="6">
        <v>967.3258683618587</v>
      </c>
      <c r="BK6" s="14">
        <v>1126.1737866582982</v>
      </c>
      <c r="BL6" s="14"/>
      <c r="BM6" s="14"/>
      <c r="BN6" s="14"/>
      <c r="BO6" s="17">
        <f aca="true" t="shared" si="4" ref="BO6:BO27">BK6/X6</f>
        <v>18.624626339978228</v>
      </c>
      <c r="BP6" s="14">
        <v>0</v>
      </c>
      <c r="BQ6" s="14">
        <v>0</v>
      </c>
      <c r="BR6" s="14">
        <v>0</v>
      </c>
      <c r="BS6" s="6">
        <v>0</v>
      </c>
      <c r="BT6" s="6">
        <v>0</v>
      </c>
      <c r="BU6" s="14">
        <v>0</v>
      </c>
      <c r="BV6" s="14">
        <v>0</v>
      </c>
      <c r="BW6" s="14">
        <v>0</v>
      </c>
      <c r="BX6" s="14">
        <v>977.6261715709381</v>
      </c>
      <c r="BY6" s="14">
        <f>BX6-BY$3*$CL6</f>
        <v>924.2218307442612</v>
      </c>
      <c r="BZ6" s="14">
        <v>778.3596979210042</v>
      </c>
      <c r="CA6" s="14">
        <f>BZ6-CA$3*$CM6</f>
        <v>209.35679649510473</v>
      </c>
      <c r="CB6" s="14">
        <v>1755.9858694919426</v>
      </c>
      <c r="CC6" s="102">
        <v>1133.578627239366</v>
      </c>
      <c r="CD6" s="6">
        <v>1061.005895925737</v>
      </c>
      <c r="CE6" s="6">
        <v>1131.0868970486426</v>
      </c>
      <c r="CF6" s="14">
        <v>16.89126969397298</v>
      </c>
      <c r="CG6" s="14">
        <v>5.159108320253848</v>
      </c>
      <c r="CH6" s="14">
        <v>22.050378014226823</v>
      </c>
      <c r="CI6" s="6">
        <v>19.805744191056874</v>
      </c>
      <c r="CJ6" s="6">
        <v>21.223278560758374</v>
      </c>
      <c r="CK6" s="14"/>
      <c r="CL6" s="14">
        <v>211.967660249562</v>
      </c>
      <c r="CM6" s="14">
        <v>2258.4346482601254</v>
      </c>
      <c r="CN6" s="14">
        <v>2470.4023085096865</v>
      </c>
      <c r="CO6" s="14"/>
      <c r="CP6" s="14"/>
      <c r="CQ6" s="14"/>
      <c r="CR6" s="14"/>
      <c r="CS6" s="14">
        <f aca="true" t="shared" si="5" ref="CS6:CS15">1.47*CL6+AQ6</f>
        <v>481.03570421516963</v>
      </c>
      <c r="CT6" s="14">
        <f aca="true" t="shared" si="6" ref="CT6:CT15">1.47*CM6+AR6</f>
        <v>6530.881782807677</v>
      </c>
      <c r="CU6" s="14">
        <f aca="true" t="shared" si="7" ref="CU6:CU15">1.45*CN6+AS6</f>
        <v>6962.509440852651</v>
      </c>
      <c r="CV6" s="6">
        <v>2746.054975867163</v>
      </c>
      <c r="CW6" s="6">
        <v>4950.060681432092</v>
      </c>
      <c r="CX6" s="14"/>
      <c r="CY6" s="14">
        <f>CU6/1000</f>
        <v>6.962509440852651</v>
      </c>
      <c r="CZ6" s="14">
        <v>291.78334960955215</v>
      </c>
      <c r="DA6" s="14">
        <v>1.7465324453233</v>
      </c>
      <c r="DB6" s="14">
        <v>293.52988205487543</v>
      </c>
      <c r="DC6" s="6">
        <v>291.84059360049906</v>
      </c>
      <c r="DD6" s="14">
        <v>15.036116590867703</v>
      </c>
      <c r="DE6" s="48">
        <f>DD6-DE$3*$CL6</f>
        <v>7.056157616766547</v>
      </c>
      <c r="DF6" s="14">
        <v>52.950442247926055</v>
      </c>
      <c r="DG6" s="48">
        <f>DF6-DG$3*$CM6</f>
        <v>-32.072979804219834</v>
      </c>
      <c r="DH6" s="14">
        <v>67.98655883879377</v>
      </c>
      <c r="DI6" s="14">
        <v>8.053164478967458</v>
      </c>
      <c r="DJ6" s="40">
        <v>7.755591611878423</v>
      </c>
      <c r="DK6" s="14">
        <v>16.780369692234757</v>
      </c>
      <c r="DL6" s="48">
        <f>DK6-DL$3*$CL6</f>
        <v>-8.65574953771268</v>
      </c>
      <c r="DM6" s="14">
        <v>246.1930422929119</v>
      </c>
      <c r="DN6" s="48">
        <f>DM6-DN$3*$CM6</f>
        <v>-24.81911549830312</v>
      </c>
      <c r="DO6" s="14">
        <v>262.97341198514664</v>
      </c>
      <c r="DP6" s="14"/>
      <c r="DQ6" s="14">
        <v>3.296523181295452</v>
      </c>
      <c r="DR6" s="48">
        <f>DQ6-DR$3*$CL6</f>
        <v>-4.798531354932164</v>
      </c>
      <c r="DS6" s="14">
        <v>70.53872329786817</v>
      </c>
      <c r="DT6" s="48">
        <f>DS6-DT$3*$CM6</f>
        <v>-15.710998110799054</v>
      </c>
      <c r="DU6" s="14">
        <v>73.83524647916363</v>
      </c>
      <c r="DV6" s="14"/>
      <c r="DW6" s="2" t="s">
        <v>313</v>
      </c>
      <c r="DX6" s="2" t="s">
        <v>263</v>
      </c>
      <c r="DY6" s="6"/>
      <c r="DZ6" s="14"/>
      <c r="EA6" s="14"/>
      <c r="EB6" s="1">
        <v>0.8413397804503329</v>
      </c>
      <c r="EC6" s="5">
        <f aca="true" t="shared" si="8" ref="EC6:EC12">BG6+BY6+CZ6+DE6</f>
        <v>1267.9720888232823</v>
      </c>
      <c r="ED6" s="5">
        <f aca="true" t="shared" si="9" ref="ED6:ED15">AB6+AE6+AH6+BP6+BU6+CF6</f>
        <v>31.395901720729995</v>
      </c>
      <c r="EE6" s="5">
        <f>CS6</f>
        <v>481.03570421516963</v>
      </c>
      <c r="EF6" s="5">
        <f>SUM(EC6:EE6)</f>
        <v>1780.4036947591821</v>
      </c>
      <c r="EG6" s="5">
        <f aca="true" t="shared" si="10" ref="EG6:EG15">EF6+U6</f>
        <v>1957.7678168845218</v>
      </c>
      <c r="EH6" s="5">
        <f aca="true" t="shared" si="11" ref="EH6:EH15">EG6+V6</f>
        <v>2972.107199539433</v>
      </c>
      <c r="EI6" s="1">
        <f aca="true" t="shared" si="12" ref="EI6:EN6">EC6/1000</f>
        <v>1.2679720888232824</v>
      </c>
      <c r="EJ6" s="1">
        <f t="shared" si="12"/>
        <v>0.03139590172072999</v>
      </c>
      <c r="EK6" s="1">
        <f t="shared" si="12"/>
        <v>0.4810357042151696</v>
      </c>
      <c r="EL6" s="1">
        <f t="shared" si="12"/>
        <v>1.7804036947591821</v>
      </c>
      <c r="EM6" s="1">
        <f t="shared" si="12"/>
        <v>1.9577678168845218</v>
      </c>
      <c r="EN6" s="1">
        <f t="shared" si="12"/>
        <v>2.9721071995394333</v>
      </c>
      <c r="EO6" s="47">
        <v>1722.9405368054024</v>
      </c>
      <c r="EP6" s="1">
        <f>EO6/1000</f>
        <v>1.7229405368054025</v>
      </c>
      <c r="EQ6" s="1">
        <f>EP6+U6/1000+V6/1000</f>
        <v>2.914644041585653</v>
      </c>
      <c r="ER6" s="1"/>
      <c r="ES6" s="1">
        <f>(AH6/95)+(AQ6/35.5)+(BG6/62)+(BX6/48)</f>
        <v>25.864627973818912</v>
      </c>
      <c r="ET6" s="1">
        <f aca="true" t="shared" si="13" ref="ET6:ET14">(AI6/95)+(AR6/35.5)+(BH6/62)+(BZ6/48)</f>
        <v>124.10577454694814</v>
      </c>
      <c r="EU6" s="1">
        <f>(CL6/23)+(CZ6/18)+(DD6/39)+(DK6/12.5)+(DQ6/20)</f>
        <v>27.318968503152835</v>
      </c>
      <c r="EV6" s="1">
        <f aca="true" t="shared" si="14" ref="EV6:EV15">(CM6/23)+(DA6/18)+(DF6/39)+(DM6/12.5)+(DS6/20)</f>
        <v>122.86992356992332</v>
      </c>
      <c r="EW6" s="1">
        <f>EU6/ES6</f>
        <v>1.0562289367086994</v>
      </c>
      <c r="EX6" s="1">
        <f>EV6/ET6</f>
        <v>0.9900419542802393</v>
      </c>
      <c r="EZ6" s="21">
        <f>(CZ6/18)/(BY6/48)</f>
        <v>0.8418854720901328</v>
      </c>
      <c r="FA6" s="21">
        <f>(DA6/18)/(CA6/48)</f>
        <v>0.022246327476186656</v>
      </c>
    </row>
    <row r="7" spans="1:157" ht="12.75">
      <c r="A7" s="7">
        <v>250</v>
      </c>
      <c r="B7" s="7">
        <v>175</v>
      </c>
      <c r="C7" s="7">
        <v>380</v>
      </c>
      <c r="D7" s="60" t="s">
        <v>144</v>
      </c>
      <c r="E7" s="60">
        <v>1</v>
      </c>
      <c r="F7" s="13">
        <v>36474.71875</v>
      </c>
      <c r="G7" s="13">
        <v>36475.70138888889</v>
      </c>
      <c r="H7" s="8">
        <v>36474.71875</v>
      </c>
      <c r="I7" s="8">
        <v>36475.70138888889</v>
      </c>
      <c r="J7" s="11">
        <v>41.43333333333333</v>
      </c>
      <c r="K7">
        <v>-10.883333333333333</v>
      </c>
      <c r="L7" s="11">
        <v>35.516666666666666</v>
      </c>
      <c r="M7">
        <v>-13.066666666666666</v>
      </c>
      <c r="N7" s="14">
        <v>38.59237084069961</v>
      </c>
      <c r="O7" s="21">
        <v>-11.994257606986784</v>
      </c>
      <c r="P7" s="14">
        <v>38.59237084069961</v>
      </c>
      <c r="Q7" s="21">
        <v>-11.994257606986784</v>
      </c>
      <c r="R7" s="5">
        <v>173.05126209950635</v>
      </c>
      <c r="S7" s="5">
        <v>1378.4766022793847</v>
      </c>
      <c r="T7" s="54">
        <v>2748.8477477701263</v>
      </c>
      <c r="U7" s="29">
        <f aca="true" t="shared" si="15" ref="U7:U15">R7</f>
        <v>173.05126209950635</v>
      </c>
      <c r="V7" s="29">
        <f aca="true" t="shared" si="16" ref="V7:W15">S7</f>
        <v>1378.4766022793847</v>
      </c>
      <c r="W7" s="29">
        <f t="shared" si="16"/>
        <v>2748.8477477701263</v>
      </c>
      <c r="X7" s="1">
        <f>'HV'!BK9</f>
        <v>176.33441506818593</v>
      </c>
      <c r="Y7" s="1"/>
      <c r="Z7" s="151">
        <v>15.565000000025611</v>
      </c>
      <c r="AA7" s="148"/>
      <c r="AB7" s="14">
        <v>14.24549983505526</v>
      </c>
      <c r="AC7" s="14">
        <v>39.49040627927971</v>
      </c>
      <c r="AD7" s="14">
        <v>53.73590611433496</v>
      </c>
      <c r="AE7" s="14">
        <v>11.731037812880006</v>
      </c>
      <c r="AF7" s="14">
        <v>15.18475009804642</v>
      </c>
      <c r="AG7" s="14">
        <v>26.915787910926426</v>
      </c>
      <c r="AH7" s="14"/>
      <c r="AI7" s="14"/>
      <c r="AJ7" s="14"/>
      <c r="AK7" s="14"/>
      <c r="AL7" s="6"/>
      <c r="AM7" s="6"/>
      <c r="AN7" s="14">
        <v>0</v>
      </c>
      <c r="AO7" s="14">
        <v>0</v>
      </c>
      <c r="AP7" s="14">
        <v>0</v>
      </c>
      <c r="AQ7" s="14">
        <v>80.53810915150255</v>
      </c>
      <c r="AR7" s="14">
        <v>2675.9797233225486</v>
      </c>
      <c r="AS7" s="14">
        <v>2756.517832474051</v>
      </c>
      <c r="AT7" s="14">
        <f t="shared" si="0"/>
        <v>235.80199338193185</v>
      </c>
      <c r="AU7" s="14">
        <f t="shared" si="1"/>
        <v>3835.961740926072</v>
      </c>
      <c r="AV7" s="14">
        <f aca="true" t="shared" si="17" ref="AV7:AV27">100*(AT7-AQ7)/AT7</f>
        <v>65.8450261609732</v>
      </c>
      <c r="AW7" s="14">
        <f aca="true" t="shared" si="18" ref="AW7:AW27">100*(AU7-AR7)/AU7</f>
        <v>30.2396659807009</v>
      </c>
      <c r="AX7" s="1">
        <f t="shared" si="2"/>
        <v>0.6141713395307354</v>
      </c>
      <c r="AY7" s="1">
        <f t="shared" si="3"/>
        <v>1.2544233818673964</v>
      </c>
      <c r="AZ7" s="14">
        <v>0</v>
      </c>
      <c r="BA7" s="14">
        <v>1.5959980472187039</v>
      </c>
      <c r="BB7" s="14">
        <v>1.5959980472187039</v>
      </c>
      <c r="BC7" s="1">
        <f aca="true" t="shared" si="19" ref="BC7:BC27">$BC$2*CL7</f>
        <v>0.813958296890201</v>
      </c>
      <c r="BD7" s="1">
        <f aca="true" t="shared" si="20" ref="BD7:BD27">$BC$2*CM7</f>
        <v>13.241248900397977</v>
      </c>
      <c r="BE7" s="14">
        <f aca="true" t="shared" si="21" ref="BE7:BE27">100*(BC7-AZ7)/BC7</f>
        <v>100</v>
      </c>
      <c r="BF7" s="14">
        <f aca="true" t="shared" si="22" ref="BF7:BF27">100*(BD7-BA7)/BD7</f>
        <v>87.94677103931839</v>
      </c>
      <c r="BG7" s="14">
        <v>74.89691432335894</v>
      </c>
      <c r="BH7" s="14">
        <v>1668.0097140557198</v>
      </c>
      <c r="BI7" s="6">
        <v>957.8014129823622</v>
      </c>
      <c r="BJ7" s="6">
        <v>1561.4537429524582</v>
      </c>
      <c r="BK7" s="14">
        <v>1742.9066283790787</v>
      </c>
      <c r="BL7" s="14"/>
      <c r="BM7" s="14"/>
      <c r="BN7" s="14"/>
      <c r="BO7" s="17">
        <f t="shared" si="4"/>
        <v>9.88409793802941</v>
      </c>
      <c r="BP7" s="14">
        <v>0</v>
      </c>
      <c r="BQ7" s="14">
        <v>0</v>
      </c>
      <c r="BR7" s="14">
        <v>0</v>
      </c>
      <c r="BS7" s="6">
        <v>0</v>
      </c>
      <c r="BT7" s="6">
        <v>0</v>
      </c>
      <c r="BU7" s="14">
        <v>0</v>
      </c>
      <c r="BV7" s="14">
        <v>9.933016289736306</v>
      </c>
      <c r="BW7" s="14">
        <v>9.933016289736306</v>
      </c>
      <c r="BX7" s="14">
        <v>1480.1213276375693</v>
      </c>
      <c r="BY7" s="14">
        <f>BX7-BY$3*$CL7</f>
        <v>1447.0829406433418</v>
      </c>
      <c r="BZ7" s="14">
        <v>535.6135058374311</v>
      </c>
      <c r="CA7" s="14">
        <f>BZ7-CA$3*$CM7</f>
        <v>-1.8458543406354693</v>
      </c>
      <c r="CB7" s="14">
        <v>2015.7348334750002</v>
      </c>
      <c r="CC7" s="6">
        <v>1447.0829406433418</v>
      </c>
      <c r="CD7" s="6">
        <v>1447.0829406433418</v>
      </c>
      <c r="CE7" s="6">
        <v>1504.1194055652725</v>
      </c>
      <c r="CF7" s="14">
        <v>45.96008337223405</v>
      </c>
      <c r="CG7" s="14">
        <v>12.587424341129305</v>
      </c>
      <c r="CH7" s="14">
        <v>58.54750771336336</v>
      </c>
      <c r="CI7" s="6">
        <v>54.47295786627721</v>
      </c>
      <c r="CJ7" s="6">
        <v>57.69239228291181</v>
      </c>
      <c r="CK7" s="14"/>
      <c r="CL7" s="14">
        <v>131.13296562004766</v>
      </c>
      <c r="CM7" s="14">
        <v>2133.2348886378004</v>
      </c>
      <c r="CN7" s="14">
        <v>2264.3678542578477</v>
      </c>
      <c r="CO7" s="14"/>
      <c r="CP7" s="14"/>
      <c r="CQ7" s="14"/>
      <c r="CR7" s="14"/>
      <c r="CS7" s="14">
        <f t="shared" si="5"/>
        <v>273.3035686129726</v>
      </c>
      <c r="CT7" s="14">
        <f t="shared" si="6"/>
        <v>5811.835009620116</v>
      </c>
      <c r="CU7" s="14">
        <f t="shared" si="7"/>
        <v>6039.85122114793</v>
      </c>
      <c r="CV7" s="6">
        <v>2176.163907209591</v>
      </c>
      <c r="CW7" s="6">
        <v>4274.580880036202</v>
      </c>
      <c r="CX7" s="14"/>
      <c r="CY7" s="14">
        <f aca="true" t="shared" si="23" ref="CY7:CY27">CU7/1000</f>
        <v>6.03985122114793</v>
      </c>
      <c r="CZ7" s="14">
        <v>566.5211746438863</v>
      </c>
      <c r="DA7" s="14">
        <v>7.476369896640445</v>
      </c>
      <c r="DB7" s="14">
        <v>573.9975445405269</v>
      </c>
      <c r="DC7" s="6">
        <v>570.6916296151354</v>
      </c>
      <c r="DD7" s="14">
        <v>22.57127635460468</v>
      </c>
      <c r="DE7" s="48">
        <f>DD7-DE$3*$CL7</f>
        <v>17.634505884202888</v>
      </c>
      <c r="DF7" s="14">
        <v>55.648117230232884</v>
      </c>
      <c r="DG7" s="48">
        <f>DF7-DG$3*$CM7</f>
        <v>-24.661902106719594</v>
      </c>
      <c r="DH7" s="14">
        <v>78.21939358483758</v>
      </c>
      <c r="DI7" s="14">
        <f aca="true" t="shared" si="24" ref="DI7:DI14">IF(DE7&gt;0,DE7,0)+IF(DG7&gt;0,DG7,0)</f>
        <v>17.634505884202888</v>
      </c>
      <c r="DJ7" s="40">
        <v>17.634505884202888</v>
      </c>
      <c r="DK7" s="14">
        <v>11.247082093139218</v>
      </c>
      <c r="DL7" s="48">
        <f>DK7-DL$3*$CL7</f>
        <v>-4.4888737812665</v>
      </c>
      <c r="DM7" s="14">
        <v>227.43259298934632</v>
      </c>
      <c r="DN7" s="48">
        <f>DM7-DN$3*$CM7</f>
        <v>-28.55559364718971</v>
      </c>
      <c r="DO7" s="14">
        <v>238.67967508248552</v>
      </c>
      <c r="DP7" s="14"/>
      <c r="DQ7" s="14">
        <v>4.755323341162268</v>
      </c>
      <c r="DR7" s="48">
        <f>DQ7-DR$3*$CL7</f>
        <v>-0.25265054948570587</v>
      </c>
      <c r="DS7" s="14">
        <v>82.67019266023982</v>
      </c>
      <c r="DT7" s="48">
        <f>DS7-DT$3*$CM7</f>
        <v>1.2018557366966718</v>
      </c>
      <c r="DU7" s="14">
        <v>87.42551600140207</v>
      </c>
      <c r="DV7" s="14">
        <f aca="true" t="shared" si="25" ref="DV7:DV14">IF(DR7&gt;0,DR7,0)+IF(DT7&gt;0,DT7,0)</f>
        <v>1.2018557366966718</v>
      </c>
      <c r="DW7" s="14"/>
      <c r="DX7" s="14"/>
      <c r="DY7" s="6"/>
      <c r="DZ7" s="14"/>
      <c r="EA7" s="14"/>
      <c r="EB7" s="1">
        <v>12.313029968781535</v>
      </c>
      <c r="EC7" s="5">
        <f t="shared" si="8"/>
        <v>2106.13553549479</v>
      </c>
      <c r="ED7" s="5">
        <f t="shared" si="9"/>
        <v>71.93662102016933</v>
      </c>
      <c r="EE7" s="5">
        <f aca="true" t="shared" si="26" ref="EE7:EE27">CS7</f>
        <v>273.3035686129726</v>
      </c>
      <c r="EF7" s="5">
        <f aca="true" t="shared" si="27" ref="EF7:EF27">SUM(EC7:EE7)</f>
        <v>2451.3757251279317</v>
      </c>
      <c r="EG7" s="5">
        <f t="shared" si="10"/>
        <v>2624.426987227438</v>
      </c>
      <c r="EH7" s="5">
        <f t="shared" si="11"/>
        <v>4002.9035895068228</v>
      </c>
      <c r="EI7" s="1">
        <f aca="true" t="shared" si="28" ref="EI7:EI27">EC7/1000</f>
        <v>2.10613553549479</v>
      </c>
      <c r="EJ7" s="1">
        <f aca="true" t="shared" si="29" ref="EJ7:EJ27">ED7/1000</f>
        <v>0.07193662102016933</v>
      </c>
      <c r="EK7" s="1">
        <f aca="true" t="shared" si="30" ref="EK7:EK27">EE7/1000</f>
        <v>0.27330356861297256</v>
      </c>
      <c r="EL7" s="1">
        <f aca="true" t="shared" si="31" ref="EL7:EL27">EF7/1000</f>
        <v>2.4513757251279316</v>
      </c>
      <c r="EM7" s="1">
        <f aca="true" t="shared" si="32" ref="EM7:EM27">EG7/1000</f>
        <v>2.624426987227438</v>
      </c>
      <c r="EN7" s="1">
        <f aca="true" t="shared" si="33" ref="EN7:EN27">EH7/1000</f>
        <v>4.002903589506823</v>
      </c>
      <c r="EO7" s="47">
        <v>2397.682166726723</v>
      </c>
      <c r="EP7" s="1">
        <f aca="true" t="shared" si="34" ref="EP7:EP27">EO7/1000</f>
        <v>2.397682166726723</v>
      </c>
      <c r="EQ7" s="1">
        <f>EP7+U7/1000+V7/1000</f>
        <v>3.949210031105614</v>
      </c>
      <c r="ER7" s="1"/>
      <c r="ES7" s="1">
        <f>(AH7/95)+(AQ7/35.5)+(BG7/62)+(BX7/48)</f>
        <v>34.31255487062855</v>
      </c>
      <c r="ET7" s="1">
        <f t="shared" si="13"/>
        <v>113.44170770584428</v>
      </c>
      <c r="EU7" s="1">
        <f>(CL7/23)+(CZ7/18)+(DD7/39)+(DK7/12.5)+(DQ7/20)</f>
        <v>38.891115289423524</v>
      </c>
      <c r="EV7" s="1">
        <f t="shared" si="14"/>
        <v>116.91968874033378</v>
      </c>
      <c r="EW7" s="1">
        <f>EU7/ES7</f>
        <v>1.133436884430725</v>
      </c>
      <c r="EX7" s="1">
        <f aca="true" t="shared" si="35" ref="EX7:EX27">EV7/ET7</f>
        <v>1.0306587506907772</v>
      </c>
      <c r="EZ7" s="21">
        <f>(CZ7/18)/(BY7/48)</f>
        <v>1.0439782613372957</v>
      </c>
      <c r="FA7" s="21">
        <f>(DA7/18)/(CA7/48)</f>
        <v>-10.800953223740022</v>
      </c>
    </row>
    <row r="8" spans="1:157" ht="12.75">
      <c r="A8" s="73">
        <v>349.1666666666667</v>
      </c>
      <c r="B8" s="7">
        <v>270</v>
      </c>
      <c r="C8" s="7">
        <v>440</v>
      </c>
      <c r="D8" s="60" t="s">
        <v>145</v>
      </c>
      <c r="E8" s="60">
        <v>1</v>
      </c>
      <c r="F8" s="13">
        <v>36476.395833333336</v>
      </c>
      <c r="G8" s="13">
        <v>36477.052083333336</v>
      </c>
      <c r="H8" s="8">
        <v>36476.395833333336</v>
      </c>
      <c r="I8" s="8">
        <v>36477.052083333336</v>
      </c>
      <c r="J8" s="11">
        <v>32.03333333333333</v>
      </c>
      <c r="K8">
        <v>-14.466666666666667</v>
      </c>
      <c r="L8" s="11">
        <v>28.191731770826337</v>
      </c>
      <c r="M8">
        <v>-16.020442708335786</v>
      </c>
      <c r="N8" s="14">
        <v>30.25456171075864</v>
      </c>
      <c r="O8" s="21">
        <v>-15.149289681905103</v>
      </c>
      <c r="P8" s="14">
        <v>30.25456171075864</v>
      </c>
      <c r="Q8" s="21">
        <v>-15.149289681905103</v>
      </c>
      <c r="R8" s="5">
        <v>71.77594742112811</v>
      </c>
      <c r="S8" s="5">
        <v>797.9054745759755</v>
      </c>
      <c r="T8" s="54">
        <v>2279.0193524849437</v>
      </c>
      <c r="U8" s="29">
        <f t="shared" si="15"/>
        <v>71.77594742112811</v>
      </c>
      <c r="V8" s="29">
        <f t="shared" si="16"/>
        <v>797.9054745759755</v>
      </c>
      <c r="W8" s="29">
        <f t="shared" si="16"/>
        <v>2279.0193524849437</v>
      </c>
      <c r="X8" s="1">
        <f>AVERAGE('HV'!BK10:BK11)</f>
        <v>189.70788952578772</v>
      </c>
      <c r="Y8" s="1"/>
      <c r="Z8" s="151">
        <v>10.395</v>
      </c>
      <c r="AA8" s="148"/>
      <c r="AB8" s="14">
        <v>3.00530491143819</v>
      </c>
      <c r="AC8" s="14">
        <v>27.384171577489184</v>
      </c>
      <c r="AD8" s="14">
        <v>30.38947648892737</v>
      </c>
      <c r="AE8" s="14">
        <v>19.27646395216717</v>
      </c>
      <c r="AF8" s="14">
        <v>26.8242426807582</v>
      </c>
      <c r="AG8" s="14">
        <v>46.10070663292537</v>
      </c>
      <c r="AH8" s="14"/>
      <c r="AI8" s="14"/>
      <c r="AJ8" s="14"/>
      <c r="AK8" s="14"/>
      <c r="AL8" s="6"/>
      <c r="AM8" s="6"/>
      <c r="AN8" s="14">
        <v>0</v>
      </c>
      <c r="AO8" s="14">
        <v>0</v>
      </c>
      <c r="AP8" s="14">
        <v>0</v>
      </c>
      <c r="AQ8" s="14">
        <v>71.66625902237614</v>
      </c>
      <c r="AR8" s="14">
        <v>2531.4395930648393</v>
      </c>
      <c r="AS8" s="14">
        <v>2603.105852087215</v>
      </c>
      <c r="AT8" s="14">
        <f t="shared" si="0"/>
        <v>166.45685072423922</v>
      </c>
      <c r="AU8" s="14">
        <f t="shared" si="1"/>
        <v>3610.608247663214</v>
      </c>
      <c r="AV8" s="14">
        <f t="shared" si="17"/>
        <v>56.94604414864123</v>
      </c>
      <c r="AW8" s="14">
        <f t="shared" si="18"/>
        <v>29.888832589268382</v>
      </c>
      <c r="AX8" s="1">
        <f t="shared" si="2"/>
        <v>0.7741919482049765</v>
      </c>
      <c r="AY8" s="1">
        <f t="shared" si="3"/>
        <v>1.2607320329875449</v>
      </c>
      <c r="AZ8" s="14">
        <v>0</v>
      </c>
      <c r="BA8" s="14">
        <v>0</v>
      </c>
      <c r="BB8" s="14">
        <v>0</v>
      </c>
      <c r="BC8" s="1">
        <f t="shared" si="19"/>
        <v>0.5745877410873064</v>
      </c>
      <c r="BD8" s="1">
        <f t="shared" si="20"/>
        <v>12.463357488439506</v>
      </c>
      <c r="BE8" s="14">
        <f t="shared" si="21"/>
        <v>100</v>
      </c>
      <c r="BF8" s="14">
        <f t="shared" si="22"/>
        <v>100</v>
      </c>
      <c r="BG8" s="14">
        <v>57.34887586964887</v>
      </c>
      <c r="BH8" s="14">
        <v>1307.7187354805196</v>
      </c>
      <c r="BI8" s="6">
        <v>624.9473612299183</v>
      </c>
      <c r="BJ8" s="6">
        <v>1063.5813198638768</v>
      </c>
      <c r="BK8" s="14">
        <v>1365.0676113501684</v>
      </c>
      <c r="BL8" s="14"/>
      <c r="BM8" s="14"/>
      <c r="BN8" s="14"/>
      <c r="BO8" s="17">
        <f t="shared" si="4"/>
        <v>7.195629105159643</v>
      </c>
      <c r="BP8" s="14">
        <v>1.9700231697931698</v>
      </c>
      <c r="BQ8" s="14">
        <v>0</v>
      </c>
      <c r="BR8" s="14">
        <v>1.9700231697931698</v>
      </c>
      <c r="BS8" s="6">
        <v>1.9700231697931698</v>
      </c>
      <c r="BT8" s="6">
        <v>1.9700231697931698</v>
      </c>
      <c r="BU8" s="14">
        <v>6.070426251563251</v>
      </c>
      <c r="BV8" s="14">
        <v>10.292353222222223</v>
      </c>
      <c r="BW8" s="14">
        <v>16.362779473785473</v>
      </c>
      <c r="BX8" s="14">
        <v>896.2468319395542</v>
      </c>
      <c r="BY8" s="14">
        <f>BX8-BY$3*$CL8</f>
        <v>872.9244427892633</v>
      </c>
      <c r="BZ8" s="14">
        <v>479.6938101066219</v>
      </c>
      <c r="CA8" s="14">
        <f>BZ8-CA$3*$CM8</f>
        <v>-26.191109948455505</v>
      </c>
      <c r="CB8" s="14">
        <v>1375.9406420461762</v>
      </c>
      <c r="CC8" s="102">
        <v>872.9244427892633</v>
      </c>
      <c r="CD8" s="6">
        <v>872.9244427892633</v>
      </c>
      <c r="CE8" s="6">
        <v>913.3455525516425</v>
      </c>
      <c r="CF8" s="14">
        <v>14.829000235690236</v>
      </c>
      <c r="CG8" s="14">
        <v>21.344911448773452</v>
      </c>
      <c r="CH8" s="14">
        <v>36.17391168446369</v>
      </c>
      <c r="CI8" s="6">
        <v>28.999184165464168</v>
      </c>
      <c r="CJ8" s="6">
        <v>34.4394134973545</v>
      </c>
      <c r="CK8" s="14"/>
      <c r="CL8" s="14">
        <v>92.56910923517077</v>
      </c>
      <c r="CM8" s="14">
        <v>2007.9124880059646</v>
      </c>
      <c r="CN8" s="14">
        <v>2100.4815972411357</v>
      </c>
      <c r="CO8" s="14"/>
      <c r="CP8" s="14"/>
      <c r="CQ8" s="14"/>
      <c r="CR8" s="14"/>
      <c r="CS8" s="14">
        <f t="shared" si="5"/>
        <v>207.74284959807716</v>
      </c>
      <c r="CT8" s="14">
        <f t="shared" si="6"/>
        <v>5483.070950433607</v>
      </c>
      <c r="CU8" s="14">
        <f t="shared" si="7"/>
        <v>5648.804168086862</v>
      </c>
      <c r="CV8" s="6">
        <v>1700.7600825924562</v>
      </c>
      <c r="CW8" s="6">
        <v>3509.200966532225</v>
      </c>
      <c r="CX8" s="14"/>
      <c r="CY8" s="14">
        <f t="shared" si="23"/>
        <v>5.648804168086862</v>
      </c>
      <c r="CZ8" s="14">
        <v>227.37286808348247</v>
      </c>
      <c r="DA8" s="14">
        <v>3.6953469579220783</v>
      </c>
      <c r="DB8" s="14">
        <v>231.06821504140453</v>
      </c>
      <c r="DC8" s="6">
        <v>227.37286808348244</v>
      </c>
      <c r="DD8" s="14">
        <v>6.77735924963925</v>
      </c>
      <c r="DE8" s="48">
        <f>DD8-DE$3*$CL8</f>
        <v>3.292404549021057</v>
      </c>
      <c r="DF8" s="14">
        <v>48.392657148629155</v>
      </c>
      <c r="DG8" s="48">
        <f>DF8-DG$3*$CM8</f>
        <v>-27.199342399830684</v>
      </c>
      <c r="DH8" s="14">
        <v>55.17001639826841</v>
      </c>
      <c r="DI8" s="14">
        <f t="shared" si="24"/>
        <v>3.292404549021057</v>
      </c>
      <c r="DJ8" s="40">
        <v>3.302444912761181</v>
      </c>
      <c r="DK8" s="14">
        <v>11.255620279701779</v>
      </c>
      <c r="DL8" s="48">
        <f>DK8-DL$3*$CL8</f>
        <v>0.1473271714812867</v>
      </c>
      <c r="DM8" s="14">
        <v>211.9936108001443</v>
      </c>
      <c r="DN8" s="48">
        <f>DM8-DN$3*$CM8</f>
        <v>-28.955887760571443</v>
      </c>
      <c r="DO8" s="14">
        <v>223.24923107984606</v>
      </c>
      <c r="DP8" s="14">
        <f aca="true" t="shared" si="36" ref="DP8:DP13">IF(DL8&gt;0,DL8,0)+IF(DN8&gt;0,DN8,0)</f>
        <v>0.1473271714812867</v>
      </c>
      <c r="DQ8" s="14">
        <v>1.8608131670875414</v>
      </c>
      <c r="DR8" s="48">
        <f>DQ8-DR$3*$CL8</f>
        <v>-1.674405303251107</v>
      </c>
      <c r="DS8" s="14">
        <v>63.22915584773329</v>
      </c>
      <c r="DT8" s="48">
        <f>DS8-DT$3*$CM8</f>
        <v>-13.453112924983195</v>
      </c>
      <c r="DU8" s="14">
        <v>65.08996901482082</v>
      </c>
      <c r="DV8" s="14"/>
      <c r="DW8" s="14"/>
      <c r="DX8" s="14"/>
      <c r="DY8" s="6"/>
      <c r="DZ8" s="14"/>
      <c r="EA8" s="14"/>
      <c r="EB8" s="1">
        <v>1.6284484926214522</v>
      </c>
      <c r="EC8" s="5">
        <f t="shared" si="8"/>
        <v>1160.9385912914156</v>
      </c>
      <c r="ED8" s="5">
        <f t="shared" si="9"/>
        <v>45.151218520652016</v>
      </c>
      <c r="EE8" s="5">
        <f t="shared" si="26"/>
        <v>207.74284959807716</v>
      </c>
      <c r="EF8" s="5">
        <f t="shared" si="27"/>
        <v>1413.8326594101447</v>
      </c>
      <c r="EG8" s="5">
        <f t="shared" si="10"/>
        <v>1485.608606831273</v>
      </c>
      <c r="EH8" s="5">
        <f t="shared" si="11"/>
        <v>2283.5140814072483</v>
      </c>
      <c r="EI8" s="1">
        <f t="shared" si="28"/>
        <v>1.1609385912914156</v>
      </c>
      <c r="EJ8" s="1">
        <f t="shared" si="29"/>
        <v>0.045151218520652014</v>
      </c>
      <c r="EK8" s="1">
        <f t="shared" si="30"/>
        <v>0.20774284959807715</v>
      </c>
      <c r="EL8" s="1">
        <f t="shared" si="31"/>
        <v>1.4138326594101447</v>
      </c>
      <c r="EM8" s="1">
        <f t="shared" si="32"/>
        <v>1.4856086068312728</v>
      </c>
      <c r="EN8" s="1">
        <f t="shared" si="33"/>
        <v>2.2835140814072483</v>
      </c>
      <c r="EO8" s="47">
        <v>1359.278937513344</v>
      </c>
      <c r="EP8" s="1">
        <f t="shared" si="34"/>
        <v>1.359278937513344</v>
      </c>
      <c r="EQ8" s="1">
        <f>EP8+U8/1000+V8/1000</f>
        <v>2.228960359510448</v>
      </c>
      <c r="ER8" s="1"/>
      <c r="ES8" s="1">
        <f>(AH8/95)+(AQ8/35.5)+(BG8/62)+(BX8/48)</f>
        <v>21.61555872739126</v>
      </c>
      <c r="ET8" s="1">
        <f t="shared" si="13"/>
        <v>102.39401626405083</v>
      </c>
      <c r="EU8" s="1">
        <f>(CL8/23)+(CZ8/18)+(DD8/39)+(DK8/12.5)+(DQ8/20)</f>
        <v>17.82383860745691</v>
      </c>
      <c r="EV8" s="1">
        <f t="shared" si="14"/>
        <v>108.86762402918254</v>
      </c>
      <c r="EW8" s="1">
        <f aca="true" t="shared" si="37" ref="EW8:EW27">EU8/ES8</f>
        <v>0.8245837561844063</v>
      </c>
      <c r="EX8" s="1">
        <f t="shared" si="35"/>
        <v>1.0632225202343635</v>
      </c>
      <c r="EZ8" s="21">
        <f>(CZ8/18)/(BY8/48)</f>
        <v>0.69459350489169</v>
      </c>
      <c r="FA8" s="21">
        <f>(DA8/18)/(CA8/48)</f>
        <v>-0.3762444040688693</v>
      </c>
    </row>
    <row r="9" spans="1:157" ht="12.75">
      <c r="A9" s="7">
        <v>214</v>
      </c>
      <c r="B9" s="7">
        <v>175</v>
      </c>
      <c r="C9" s="7">
        <v>270</v>
      </c>
      <c r="D9" s="60" t="s">
        <v>146</v>
      </c>
      <c r="E9" s="60">
        <v>1</v>
      </c>
      <c r="F9" s="13">
        <v>36477.072916666664</v>
      </c>
      <c r="G9" s="13">
        <v>36477.725694444445</v>
      </c>
      <c r="H9" s="8">
        <v>36477.072916666664</v>
      </c>
      <c r="I9" s="8">
        <v>36477.725694444445</v>
      </c>
      <c r="J9" s="11">
        <v>28.191731770826337</v>
      </c>
      <c r="K9">
        <v>-16.020442708335786</v>
      </c>
      <c r="L9" s="11">
        <v>24.55</v>
      </c>
      <c r="M9">
        <v>-17.3</v>
      </c>
      <c r="N9" s="14">
        <v>26.32714843749301</v>
      </c>
      <c r="O9" s="21">
        <v>-16.67460937500245</v>
      </c>
      <c r="P9" s="14">
        <v>26.32714843749301</v>
      </c>
      <c r="Q9" s="21">
        <v>-16.67460937500245</v>
      </c>
      <c r="R9" s="5">
        <v>76.08775979581493</v>
      </c>
      <c r="S9" s="5">
        <v>764.5381499399826</v>
      </c>
      <c r="T9" s="54">
        <v>2201.3263460512494</v>
      </c>
      <c r="U9" s="29">
        <f t="shared" si="15"/>
        <v>76.08775979581493</v>
      </c>
      <c r="V9" s="29">
        <f t="shared" si="16"/>
        <v>764.5381499399826</v>
      </c>
      <c r="W9" s="29">
        <f t="shared" si="16"/>
        <v>2201.3263460512494</v>
      </c>
      <c r="X9" s="1">
        <f>'HV'!BK11</f>
        <v>211.46258674238365</v>
      </c>
      <c r="Y9" s="1"/>
      <c r="Z9" s="151">
        <v>10.340000000051223</v>
      </c>
      <c r="AA9" s="148"/>
      <c r="AB9" s="14">
        <v>4.045499440850365</v>
      </c>
      <c r="AC9" s="14">
        <v>24.762223660979846</v>
      </c>
      <c r="AD9" s="14">
        <v>28.807723101830213</v>
      </c>
      <c r="AE9" s="14">
        <v>0.4788172225601319</v>
      </c>
      <c r="AF9" s="14">
        <v>20.2132350488826</v>
      </c>
      <c r="AG9" s="14">
        <v>20.692052271442726</v>
      </c>
      <c r="AH9" s="14">
        <v>7.345318591001653</v>
      </c>
      <c r="AI9" s="14">
        <v>4.018432710940764</v>
      </c>
      <c r="AJ9" s="14">
        <v>11.363751301942417</v>
      </c>
      <c r="AK9" s="14"/>
      <c r="AL9" s="6">
        <v>11.363751301942417</v>
      </c>
      <c r="AM9" s="6">
        <v>11.363751301942417</v>
      </c>
      <c r="AN9" s="14">
        <v>0</v>
      </c>
      <c r="AO9" s="14">
        <v>0</v>
      </c>
      <c r="AP9" s="14">
        <v>0</v>
      </c>
      <c r="AQ9" s="14">
        <v>42.93175285255328</v>
      </c>
      <c r="AR9" s="14">
        <v>1667.5160420633256</v>
      </c>
      <c r="AS9" s="14">
        <v>1710.4477949158788</v>
      </c>
      <c r="AT9" s="14">
        <f t="shared" si="0"/>
        <v>115.36144124690362</v>
      </c>
      <c r="AU9" s="14">
        <f t="shared" si="1"/>
        <v>2408.5924232183065</v>
      </c>
      <c r="AV9" s="14">
        <f t="shared" si="17"/>
        <v>62.78500650779135</v>
      </c>
      <c r="AW9" s="14">
        <f t="shared" si="18"/>
        <v>30.768027583710968</v>
      </c>
      <c r="AX9" s="1">
        <f t="shared" si="2"/>
        <v>0.6691963083169101</v>
      </c>
      <c r="AY9" s="1">
        <f t="shared" si="3"/>
        <v>1.2449224361191522</v>
      </c>
      <c r="AZ9" s="14">
        <v>0</v>
      </c>
      <c r="BA9" s="14">
        <v>0</v>
      </c>
      <c r="BB9" s="14">
        <v>0</v>
      </c>
      <c r="BC9" s="1">
        <f t="shared" si="19"/>
        <v>0.3982129281326238</v>
      </c>
      <c r="BD9" s="1">
        <f t="shared" si="20"/>
        <v>8.314152728683576</v>
      </c>
      <c r="BE9" s="14">
        <f t="shared" si="21"/>
        <v>100</v>
      </c>
      <c r="BF9" s="14">
        <f t="shared" si="22"/>
        <v>100</v>
      </c>
      <c r="BG9" s="14">
        <v>33.30144761443851</v>
      </c>
      <c r="BH9" s="14">
        <v>1205.0761902899685</v>
      </c>
      <c r="BI9" s="6">
        <v>982.0945705667015</v>
      </c>
      <c r="BJ9" s="6">
        <v>1238.377637904407</v>
      </c>
      <c r="BK9" s="14">
        <v>1238.377637904407</v>
      </c>
      <c r="BL9" s="14"/>
      <c r="BM9" s="14"/>
      <c r="BN9" s="14"/>
      <c r="BO9" s="17">
        <f t="shared" si="4"/>
        <v>5.856249358252071</v>
      </c>
      <c r="BP9" s="14">
        <v>4.235976789147294</v>
      </c>
      <c r="BQ9" s="14">
        <v>5.242457982565906</v>
      </c>
      <c r="BR9" s="14">
        <v>9.478434771713202</v>
      </c>
      <c r="BS9" s="6">
        <v>9.4784347717132</v>
      </c>
      <c r="BT9" s="6">
        <v>9.4784347717132</v>
      </c>
      <c r="BU9" s="14">
        <v>3.675048355881214</v>
      </c>
      <c r="BV9" s="14">
        <v>17.70182922911927</v>
      </c>
      <c r="BW9" s="14">
        <v>21.376877585000482</v>
      </c>
      <c r="BX9" s="14"/>
      <c r="BY9" s="14"/>
      <c r="BZ9" s="14"/>
      <c r="CA9" s="14"/>
      <c r="CB9" s="14"/>
      <c r="CC9" s="102"/>
      <c r="CD9" s="6"/>
      <c r="CE9" s="6"/>
      <c r="CF9" s="14">
        <v>8.795327011561845</v>
      </c>
      <c r="CG9" s="14">
        <v>26.8710556459017</v>
      </c>
      <c r="CH9" s="14">
        <v>35.666382657463544</v>
      </c>
      <c r="CI9" s="6">
        <v>34.031953257084794</v>
      </c>
      <c r="CJ9" s="6">
        <v>35.666382657463544</v>
      </c>
      <c r="CK9" s="14"/>
      <c r="CL9" s="14">
        <v>64.15419857968219</v>
      </c>
      <c r="CM9" s="14">
        <v>1339.453763289496</v>
      </c>
      <c r="CN9" s="14">
        <v>1403.6079618691783</v>
      </c>
      <c r="CO9" s="14"/>
      <c r="CP9" s="14"/>
      <c r="CQ9" s="14"/>
      <c r="CR9" s="14"/>
      <c r="CS9" s="14">
        <f t="shared" si="5"/>
        <v>137.2384247646861</v>
      </c>
      <c r="CT9" s="14">
        <f t="shared" si="6"/>
        <v>3636.5130740988848</v>
      </c>
      <c r="CU9" s="14">
        <f t="shared" si="7"/>
        <v>3745.6793396261874</v>
      </c>
      <c r="CV9" s="6">
        <v>2832.372925101822</v>
      </c>
      <c r="CW9" s="6">
        <v>3740.056953574476</v>
      </c>
      <c r="CX9" s="14"/>
      <c r="CY9" s="14">
        <f t="shared" si="23"/>
        <v>3.745679339626187</v>
      </c>
      <c r="CZ9" s="14">
        <v>595.3763697061028</v>
      </c>
      <c r="DA9" s="14">
        <v>4.157009828451361</v>
      </c>
      <c r="DB9" s="14">
        <v>599.5333795345541</v>
      </c>
      <c r="DC9" s="6">
        <v>598.4792637256812</v>
      </c>
      <c r="DD9" s="14">
        <v>35.40867611491163</v>
      </c>
      <c r="DE9" s="48"/>
      <c r="DF9" s="14">
        <v>58.60528645570581</v>
      </c>
      <c r="DG9" s="48"/>
      <c r="DH9" s="14">
        <v>94.01396257061745</v>
      </c>
      <c r="DI9" s="14"/>
      <c r="DJ9" s="40"/>
      <c r="DK9" s="14">
        <v>4.944399465642817</v>
      </c>
      <c r="DL9" s="48">
        <f aca="true" t="shared" si="38" ref="DL9:DL15">DK9-DL$3*$CL9</f>
        <v>-2.754104363919045</v>
      </c>
      <c r="DM9" s="14">
        <v>170.7102653780228</v>
      </c>
      <c r="DN9" s="48">
        <f>DM9-DN$3*$CM9</f>
        <v>9.975813783283286</v>
      </c>
      <c r="DO9" s="14">
        <v>175.6546648436656</v>
      </c>
      <c r="DP9" s="14">
        <f t="shared" si="36"/>
        <v>9.975813783283286</v>
      </c>
      <c r="DQ9" s="14">
        <v>1.048523797081362</v>
      </c>
      <c r="DR9" s="48"/>
      <c r="DS9" s="14">
        <v>94.646676279542</v>
      </c>
      <c r="DT9" s="48"/>
      <c r="DU9" s="14">
        <v>95.69520007662338</v>
      </c>
      <c r="DV9" s="14"/>
      <c r="DW9" s="14"/>
      <c r="DX9" s="14"/>
      <c r="DY9" s="6"/>
      <c r="DZ9" s="14"/>
      <c r="EA9" s="14"/>
      <c r="EB9" s="1">
        <v>4.045499440850365</v>
      </c>
      <c r="EC9" s="5">
        <f t="shared" si="8"/>
        <v>628.6778173205413</v>
      </c>
      <c r="ED9" s="5">
        <f t="shared" si="9"/>
        <v>28.5759874110025</v>
      </c>
      <c r="EE9" s="5">
        <f t="shared" si="26"/>
        <v>137.2384247646861</v>
      </c>
      <c r="EF9" s="5">
        <f t="shared" si="27"/>
        <v>794.4922294962299</v>
      </c>
      <c r="EG9" s="5">
        <f t="shared" si="10"/>
        <v>870.5799892920448</v>
      </c>
      <c r="EH9" s="5">
        <f t="shared" si="11"/>
        <v>1635.1181392320275</v>
      </c>
      <c r="EI9" s="1">
        <f t="shared" si="28"/>
        <v>0.6286778173205413</v>
      </c>
      <c r="EJ9" s="1">
        <f t="shared" si="29"/>
        <v>0.0285759874110025</v>
      </c>
      <c r="EK9" s="1">
        <f t="shared" si="30"/>
        <v>0.1372384247646861</v>
      </c>
      <c r="EL9" s="1">
        <f t="shared" si="31"/>
        <v>0.7944922294962299</v>
      </c>
      <c r="EM9" s="1">
        <f t="shared" si="32"/>
        <v>0.8705799892920448</v>
      </c>
      <c r="EN9" s="1">
        <f t="shared" si="33"/>
        <v>1.6351181392320275</v>
      </c>
      <c r="EO9" s="47">
        <v>8384.989461844241</v>
      </c>
      <c r="EP9" s="1"/>
      <c r="EQ9" s="1"/>
      <c r="ER9" s="1"/>
      <c r="ES9" s="1"/>
      <c r="ET9" s="1">
        <f t="shared" si="13"/>
        <v>66.45129491332976</v>
      </c>
      <c r="EU9" s="1"/>
      <c r="EV9" s="1">
        <f t="shared" si="14"/>
        <v>78.35991983042041</v>
      </c>
      <c r="EW9" s="1"/>
      <c r="EX9" s="1">
        <f t="shared" si="35"/>
        <v>1.179208319907425</v>
      </c>
      <c r="EZ9" s="21"/>
      <c r="FA9" s="21"/>
    </row>
    <row r="10" spans="1:159" ht="12.75">
      <c r="A10" s="73">
        <v>131</v>
      </c>
      <c r="B10" s="7">
        <v>75</v>
      </c>
      <c r="C10" s="7">
        <v>175</v>
      </c>
      <c r="D10" s="60" t="s">
        <v>147</v>
      </c>
      <c r="E10" s="60">
        <v>2</v>
      </c>
      <c r="F10" s="13">
        <v>36477.739583333336</v>
      </c>
      <c r="G10" s="13">
        <v>36478.65277777778</v>
      </c>
      <c r="H10" s="8">
        <v>36477.739583333336</v>
      </c>
      <c r="I10" s="8">
        <v>36478.65277777778</v>
      </c>
      <c r="J10" s="11">
        <v>24.433333333333334</v>
      </c>
      <c r="K10">
        <v>-17.333333333333332</v>
      </c>
      <c r="L10" s="11">
        <v>19.316666666666666</v>
      </c>
      <c r="M10">
        <v>-17.983333333333334</v>
      </c>
      <c r="N10" s="14">
        <v>21.879620927320506</v>
      </c>
      <c r="O10" s="21">
        <v>-17.65090852130297</v>
      </c>
      <c r="P10" s="14">
        <v>21.879620927320506</v>
      </c>
      <c r="Q10" s="21">
        <v>-17.65090852130297</v>
      </c>
      <c r="R10" s="5">
        <v>46.48794206795713</v>
      </c>
      <c r="S10" s="5">
        <v>594.0383571497738</v>
      </c>
      <c r="T10" s="54">
        <v>1945.0655640978139</v>
      </c>
      <c r="U10" s="29">
        <f t="shared" si="15"/>
        <v>46.48794206795713</v>
      </c>
      <c r="V10" s="29">
        <f t="shared" si="16"/>
        <v>594.0383571497738</v>
      </c>
      <c r="W10" s="29">
        <f t="shared" si="16"/>
        <v>1945.0655640978139</v>
      </c>
      <c r="X10" s="1">
        <f>'HV'!BK12</f>
        <v>174.31906408007728</v>
      </c>
      <c r="Y10" s="1"/>
      <c r="Z10" s="151">
        <v>14.465000000012806</v>
      </c>
      <c r="AA10" s="148"/>
      <c r="AB10" s="14">
        <v>0.13691422181806048</v>
      </c>
      <c r="AC10" s="14">
        <v>11.447728493304762</v>
      </c>
      <c r="AD10" s="14">
        <v>11.584642715122822</v>
      </c>
      <c r="AE10" s="14">
        <v>0.47369098946329147</v>
      </c>
      <c r="AF10" s="14">
        <v>13.916551001984836</v>
      </c>
      <c r="AG10" s="14">
        <v>14.390241991448125</v>
      </c>
      <c r="AH10" s="14">
        <v>9.557634874700607</v>
      </c>
      <c r="AI10" s="14">
        <v>0.4061733228939832</v>
      </c>
      <c r="AJ10" s="14">
        <v>9.96380819759459</v>
      </c>
      <c r="AK10" s="14"/>
      <c r="AL10" s="6">
        <v>9.963808197594588</v>
      </c>
      <c r="AM10" s="6">
        <v>9.963808197594588</v>
      </c>
      <c r="AN10" s="14">
        <v>0</v>
      </c>
      <c r="AO10" s="14">
        <v>0</v>
      </c>
      <c r="AP10" s="14">
        <v>0</v>
      </c>
      <c r="AQ10" s="14">
        <v>51.29428957281321</v>
      </c>
      <c r="AR10" s="14">
        <v>2842.2870438599243</v>
      </c>
      <c r="AS10" s="14">
        <v>2893.5813334327377</v>
      </c>
      <c r="AT10" s="14">
        <f t="shared" si="0"/>
        <v>133.2209698173548</v>
      </c>
      <c r="AU10" s="14">
        <f t="shared" si="1"/>
        <v>3975.5750409908205</v>
      </c>
      <c r="AV10" s="14">
        <f t="shared" si="17"/>
        <v>61.49683518808084</v>
      </c>
      <c r="AW10" s="14">
        <f t="shared" si="18"/>
        <v>28.506266023051857</v>
      </c>
      <c r="AX10" s="1">
        <f t="shared" si="2"/>
        <v>0.6923600767536958</v>
      </c>
      <c r="AY10" s="1">
        <f t="shared" si="3"/>
        <v>1.2855932073501897</v>
      </c>
      <c r="AZ10" s="14">
        <v>0</v>
      </c>
      <c r="BA10" s="14">
        <v>0</v>
      </c>
      <c r="BB10" s="14">
        <v>0</v>
      </c>
      <c r="BC10" s="1">
        <f t="shared" si="19"/>
        <v>0.45986173461629376</v>
      </c>
      <c r="BD10" s="1">
        <f t="shared" si="20"/>
        <v>13.723176140766382</v>
      </c>
      <c r="BE10" s="14">
        <f t="shared" si="21"/>
        <v>100</v>
      </c>
      <c r="BF10" s="14">
        <f t="shared" si="22"/>
        <v>100</v>
      </c>
      <c r="BG10" s="14">
        <v>40.322305241236336</v>
      </c>
      <c r="BH10" s="14">
        <v>1158.575825019714</v>
      </c>
      <c r="BI10" s="6">
        <v>347.9614386768437</v>
      </c>
      <c r="BJ10" s="6">
        <v>813.6001458212638</v>
      </c>
      <c r="BK10" s="14">
        <v>1198.8981302609504</v>
      </c>
      <c r="BL10" s="14"/>
      <c r="BM10" s="14"/>
      <c r="BN10" s="14"/>
      <c r="BO10" s="17">
        <f t="shared" si="4"/>
        <v>6.877607659195613</v>
      </c>
      <c r="BP10" s="14">
        <v>3.8575872796370962</v>
      </c>
      <c r="BQ10" s="14">
        <v>4.002765295537417</v>
      </c>
      <c r="BR10" s="14">
        <v>7.860352575174514</v>
      </c>
      <c r="BS10" s="6">
        <v>5.15381956446139</v>
      </c>
      <c r="BT10" s="6">
        <v>6.698928447971948</v>
      </c>
      <c r="BU10" s="14">
        <v>8.918078119591136</v>
      </c>
      <c r="BV10" s="14">
        <v>15.914275838216122</v>
      </c>
      <c r="BW10" s="14">
        <v>24.832353957807257</v>
      </c>
      <c r="BX10" s="14">
        <v>1430.6331961046212</v>
      </c>
      <c r="BY10" s="14">
        <f aca="true" t="shared" si="39" ref="BY10:BY15">BX10-BY$3*$CL10</f>
        <v>1411.967510147323</v>
      </c>
      <c r="BZ10" s="14">
        <v>520.6291586785344</v>
      </c>
      <c r="CA10" s="14">
        <f aca="true" t="shared" si="40" ref="CA10:CA15">BZ10-CA$3*$CM10</f>
        <v>-36.39152144821162</v>
      </c>
      <c r="CB10" s="14">
        <v>1951.2623547831556</v>
      </c>
      <c r="CC10" s="102">
        <v>1411.967510147323</v>
      </c>
      <c r="CD10" s="6">
        <v>1411.967510147323</v>
      </c>
      <c r="CE10" s="6">
        <v>1435.9376998866176</v>
      </c>
      <c r="CF10" s="14">
        <v>14.910494092969861</v>
      </c>
      <c r="CG10" s="14">
        <v>15.8353223058968</v>
      </c>
      <c r="CH10" s="14">
        <v>30.745816398866662</v>
      </c>
      <c r="CI10" s="6">
        <v>19.40026247595932</v>
      </c>
      <c r="CJ10" s="6">
        <v>28.191649734161008</v>
      </c>
      <c r="CK10" s="14"/>
      <c r="CL10" s="14">
        <v>74.08614577160395</v>
      </c>
      <c r="CM10" s="14">
        <v>2210.87590352031</v>
      </c>
      <c r="CN10" s="14">
        <v>2284.962049291914</v>
      </c>
      <c r="CO10" s="14"/>
      <c r="CP10" s="14"/>
      <c r="CQ10" s="14"/>
      <c r="CR10" s="14"/>
      <c r="CS10" s="14">
        <f t="shared" si="5"/>
        <v>160.20092385707102</v>
      </c>
      <c r="CT10" s="14">
        <f t="shared" si="6"/>
        <v>6092.27462203478</v>
      </c>
      <c r="CU10" s="14">
        <f t="shared" si="7"/>
        <v>6206.776304906012</v>
      </c>
      <c r="CV10" s="6">
        <v>1309.2812992805882</v>
      </c>
      <c r="CW10" s="6">
        <v>3652.8815082234455</v>
      </c>
      <c r="CX10" s="14"/>
      <c r="CY10" s="14">
        <f t="shared" si="23"/>
        <v>6.206776304906012</v>
      </c>
      <c r="CZ10" s="14">
        <v>471.3129685959602</v>
      </c>
      <c r="DA10" s="14">
        <v>0.5364125604143197</v>
      </c>
      <c r="DB10" s="14">
        <v>471.84938115637453</v>
      </c>
      <c r="DC10" s="6">
        <v>471.6459102715631</v>
      </c>
      <c r="DD10" s="14">
        <v>23.676996360850108</v>
      </c>
      <c r="DE10" s="48">
        <f aca="true" t="shared" si="41" ref="DE10:DE15">DD10-DE$3*$CL10</f>
        <v>20.88787087297796</v>
      </c>
      <c r="DF10" s="14">
        <v>86.31927459135116</v>
      </c>
      <c r="DG10" s="48">
        <f aca="true" t="shared" si="42" ref="DG10:DG15">DF10-DG$3*$CM10</f>
        <v>3.0862993999983104</v>
      </c>
      <c r="DH10" s="14">
        <v>109.99627095220126</v>
      </c>
      <c r="DI10" s="14">
        <f t="shared" si="24"/>
        <v>23.97417027297627</v>
      </c>
      <c r="DJ10" s="40">
        <v>22.577308926812155</v>
      </c>
      <c r="DK10" s="14">
        <v>7.3128090532254655</v>
      </c>
      <c r="DL10" s="48">
        <f t="shared" si="38"/>
        <v>-1.5775284393670086</v>
      </c>
      <c r="DM10" s="14">
        <v>267.7074861620513</v>
      </c>
      <c r="DN10" s="48">
        <f aca="true" t="shared" si="43" ref="DN10:DN15">DM10-DN$3*$CM10</f>
        <v>2.402377739614053</v>
      </c>
      <c r="DO10" s="14">
        <v>275.02029521527675</v>
      </c>
      <c r="DP10" s="14">
        <f t="shared" si="36"/>
        <v>2.402377739614053</v>
      </c>
      <c r="DQ10" s="14">
        <v>1.192092989175405</v>
      </c>
      <c r="DR10" s="48">
        <f aca="true" t="shared" si="44" ref="DR10:DR15">DQ10-DR$3*$CL10</f>
        <v>-1.6372602701564383</v>
      </c>
      <c r="DS10" s="14">
        <v>130.78739405603267</v>
      </c>
      <c r="DT10" s="48">
        <f aca="true" t="shared" si="45" ref="DT10:DT15">DS10-DT$3*$CM10</f>
        <v>46.353943260958374</v>
      </c>
      <c r="DU10" s="14">
        <v>131.97948704520806</v>
      </c>
      <c r="DV10" s="14">
        <f t="shared" si="25"/>
        <v>46.353943260958374</v>
      </c>
      <c r="DW10" s="14">
        <f>DX$3*EXP(-DX$1*$A10)+DX$4*(1-EXP(-DX$2*$A10))</f>
        <v>799.4327866762682</v>
      </c>
      <c r="DX10" s="14">
        <f>(DW10-DV10)^2</f>
        <v>567127.7443997408</v>
      </c>
      <c r="DY10" s="6">
        <v>3.5549717894696857</v>
      </c>
      <c r="DZ10" s="14"/>
      <c r="EA10" s="14"/>
      <c r="EB10" s="1">
        <v>0</v>
      </c>
      <c r="EC10" s="5">
        <f t="shared" si="8"/>
        <v>1944.4906548574977</v>
      </c>
      <c r="ED10" s="5">
        <f t="shared" si="9"/>
        <v>37.85439957818005</v>
      </c>
      <c r="EE10" s="5">
        <f t="shared" si="26"/>
        <v>160.20092385707102</v>
      </c>
      <c r="EF10" s="5">
        <f t="shared" si="27"/>
        <v>2142.5459782927487</v>
      </c>
      <c r="EG10" s="5">
        <f t="shared" si="10"/>
        <v>2189.033920360706</v>
      </c>
      <c r="EH10" s="5">
        <f t="shared" si="11"/>
        <v>2783.0722775104796</v>
      </c>
      <c r="EI10" s="1">
        <f t="shared" si="28"/>
        <v>1.9444906548574976</v>
      </c>
      <c r="EJ10" s="1">
        <f t="shared" si="29"/>
        <v>0.03785439957818005</v>
      </c>
      <c r="EK10" s="1">
        <f t="shared" si="30"/>
        <v>0.16020092385707102</v>
      </c>
      <c r="EL10" s="1">
        <f t="shared" si="31"/>
        <v>2.1425459782927487</v>
      </c>
      <c r="EM10" s="1">
        <f t="shared" si="32"/>
        <v>2.189033920360706</v>
      </c>
      <c r="EN10" s="1">
        <f t="shared" si="33"/>
        <v>2.7830722775104797</v>
      </c>
      <c r="EO10" s="47">
        <v>2110.8917685659267</v>
      </c>
      <c r="EP10" s="1">
        <f t="shared" si="34"/>
        <v>2.1108917685659265</v>
      </c>
      <c r="EQ10" s="1">
        <f aca="true" t="shared" si="46" ref="EQ10:EQ15">EP10+U10/1000+V10/1000</f>
        <v>2.751418067783657</v>
      </c>
      <c r="ER10" s="1"/>
      <c r="ES10" s="1">
        <f>(AH10/95)+(AQ10/35.5)+(BG10/62)+(BX10/48)</f>
        <v>32.000734262457975</v>
      </c>
      <c r="ET10" s="1">
        <f t="shared" si="13"/>
        <v>109.60184694032363</v>
      </c>
      <c r="EU10" s="1">
        <f aca="true" t="shared" si="47" ref="EU10:EU15">(CL10/23)+(CZ10/18)+(DD10/39)+(DK10/12.5)+(DQ10/20)</f>
        <v>30.65692242807295</v>
      </c>
      <c r="EV10" s="1">
        <f t="shared" si="14"/>
        <v>126.32412331016985</v>
      </c>
      <c r="EW10" s="1">
        <f t="shared" si="37"/>
        <v>0.9580068437379097</v>
      </c>
      <c r="EX10" s="1">
        <f t="shared" si="35"/>
        <v>1.1525729432182947</v>
      </c>
      <c r="EZ10" s="21">
        <f aca="true" t="shared" si="48" ref="EZ10:EZ15">(CZ10/18)/(BY10/48)</f>
        <v>0.8901299597123337</v>
      </c>
      <c r="FA10" s="21">
        <f aca="true" t="shared" si="49" ref="FA10:FA15">(DA10/18)/(CA10/48)</f>
        <v>-0.039306779093416594</v>
      </c>
      <c r="FB10" s="62">
        <f>AH10/BY10</f>
        <v>0.006769018979553839</v>
      </c>
      <c r="FC10" s="62"/>
    </row>
    <row r="11" spans="1:159" ht="12.75">
      <c r="A11" s="73">
        <v>121</v>
      </c>
      <c r="B11" s="7">
        <v>60</v>
      </c>
      <c r="C11" s="7">
        <v>180</v>
      </c>
      <c r="D11" s="60" t="s">
        <v>148</v>
      </c>
      <c r="E11" s="60">
        <v>2</v>
      </c>
      <c r="F11" s="13">
        <v>36478.65625</v>
      </c>
      <c r="G11" s="13">
        <v>36479.37708333333</v>
      </c>
      <c r="H11" s="8">
        <v>36478.65625</v>
      </c>
      <c r="I11" s="8">
        <v>36479.37708333333</v>
      </c>
      <c r="J11" s="11">
        <v>19.3</v>
      </c>
      <c r="K11">
        <v>-17.983333333333334</v>
      </c>
      <c r="L11" s="11">
        <v>15.195</v>
      </c>
      <c r="M11">
        <v>-17.995</v>
      </c>
      <c r="N11" s="14">
        <v>17.21620192308637</v>
      </c>
      <c r="O11" s="21">
        <v>-17.989278846153816</v>
      </c>
      <c r="P11" s="14">
        <v>17.21620192308637</v>
      </c>
      <c r="Q11" s="21">
        <v>-17.989278846153816</v>
      </c>
      <c r="R11" s="5">
        <v>75.51090355821223</v>
      </c>
      <c r="S11" s="5">
        <v>667.5391121412755</v>
      </c>
      <c r="T11" s="54">
        <v>2563.0800143969414</v>
      </c>
      <c r="U11" s="29">
        <f t="shared" si="15"/>
        <v>75.51090355821223</v>
      </c>
      <c r="V11" s="29">
        <f t="shared" si="16"/>
        <v>667.5391121412755</v>
      </c>
      <c r="W11" s="29">
        <f t="shared" si="16"/>
        <v>2563.0800143969414</v>
      </c>
      <c r="X11" s="1">
        <f>'HV'!BK13</f>
        <v>301.80718146066835</v>
      </c>
      <c r="Y11" s="1"/>
      <c r="Z11" s="151">
        <v>11.417999999992317</v>
      </c>
      <c r="AA11" s="148"/>
      <c r="AB11" s="14">
        <v>6.212161868860373</v>
      </c>
      <c r="AC11" s="14">
        <v>100.77091619318395</v>
      </c>
      <c r="AD11" s="14">
        <v>106.98307806204431</v>
      </c>
      <c r="AE11" s="14"/>
      <c r="AF11" s="14"/>
      <c r="AG11" s="14"/>
      <c r="AH11" s="14">
        <v>3.6896073201986646</v>
      </c>
      <c r="AI11" s="14">
        <v>0.3022065362879362</v>
      </c>
      <c r="AJ11" s="14">
        <v>3.9918138564866</v>
      </c>
      <c r="AK11" s="14"/>
      <c r="AL11" s="6">
        <v>3.9918138564866004</v>
      </c>
      <c r="AM11" s="6">
        <v>3.9918138564866004</v>
      </c>
      <c r="AN11" s="14">
        <v>0</v>
      </c>
      <c r="AO11" s="14">
        <v>0</v>
      </c>
      <c r="AP11" s="14">
        <v>0</v>
      </c>
      <c r="AQ11" s="14">
        <v>62.31828454320187</v>
      </c>
      <c r="AR11" s="14">
        <v>4027.313806164385</v>
      </c>
      <c r="AS11" s="14">
        <v>4089.6320907075865</v>
      </c>
      <c r="AT11" s="14">
        <f t="shared" si="0"/>
        <v>117.65346529931341</v>
      </c>
      <c r="AU11" s="14">
        <f t="shared" si="1"/>
        <v>4768.426951669362</v>
      </c>
      <c r="AV11" s="14">
        <f t="shared" si="17"/>
        <v>47.03234249440714</v>
      </c>
      <c r="AW11" s="14">
        <f t="shared" si="18"/>
        <v>15.542088680744568</v>
      </c>
      <c r="AX11" s="1">
        <f t="shared" si="2"/>
        <v>0.9524591444670861</v>
      </c>
      <c r="AY11" s="1">
        <f t="shared" si="3"/>
        <v>1.5187137537679687</v>
      </c>
      <c r="AZ11" s="14">
        <v>0</v>
      </c>
      <c r="BA11" s="14">
        <v>0</v>
      </c>
      <c r="BB11" s="14">
        <v>0</v>
      </c>
      <c r="BC11" s="1">
        <f t="shared" si="19"/>
        <v>0.4061247017668233</v>
      </c>
      <c r="BD11" s="1">
        <f t="shared" si="20"/>
        <v>16.45999944597385</v>
      </c>
      <c r="BE11" s="14">
        <f t="shared" si="21"/>
        <v>100</v>
      </c>
      <c r="BF11" s="14">
        <f t="shared" si="22"/>
        <v>100</v>
      </c>
      <c r="BG11" s="14">
        <v>29.675813209864078</v>
      </c>
      <c r="BH11" s="14">
        <v>1138.6933357473945</v>
      </c>
      <c r="BI11" s="6">
        <v>496.35227302713383</v>
      </c>
      <c r="BJ11" s="6">
        <v>876.4763171944942</v>
      </c>
      <c r="BK11" s="14">
        <v>1168.3691489572584</v>
      </c>
      <c r="BL11" s="14"/>
      <c r="BM11" s="14"/>
      <c r="BN11" s="14"/>
      <c r="BO11" s="17">
        <f t="shared" si="4"/>
        <v>3.8712436970606707</v>
      </c>
      <c r="BP11" s="14">
        <v>0</v>
      </c>
      <c r="BQ11" s="14">
        <v>0</v>
      </c>
      <c r="BR11" s="14">
        <v>0</v>
      </c>
      <c r="BS11" s="6">
        <v>2.0844280959901926</v>
      </c>
      <c r="BT11" s="6">
        <v>3.2930460676147577</v>
      </c>
      <c r="BU11" s="14">
        <v>0</v>
      </c>
      <c r="BV11" s="14">
        <v>0</v>
      </c>
      <c r="BW11" s="14">
        <v>0</v>
      </c>
      <c r="BX11" s="14">
        <v>817.665307372244</v>
      </c>
      <c r="BY11" s="14">
        <f t="shared" si="39"/>
        <v>801.1807956765576</v>
      </c>
      <c r="BZ11" s="14">
        <v>1192.5817781947362</v>
      </c>
      <c r="CA11" s="14">
        <f t="shared" si="40"/>
        <v>524.4740462648165</v>
      </c>
      <c r="CB11" s="14">
        <v>2010.2470855669806</v>
      </c>
      <c r="CC11" s="14">
        <f>IF(BY11&gt;0,BY11,0)+IF(CA11&gt;0,CA11,0)</f>
        <v>1325.6548419413741</v>
      </c>
      <c r="CD11" s="6">
        <v>948.8069478577229</v>
      </c>
      <c r="CE11" s="6">
        <v>1145.6382817849485</v>
      </c>
      <c r="CF11" s="14">
        <v>10.61414923235957</v>
      </c>
      <c r="CG11" s="14">
        <v>28.318291067193694</v>
      </c>
      <c r="CH11" s="14">
        <v>38.932440299553264</v>
      </c>
      <c r="CI11" s="6">
        <v>29.62857106982201</v>
      </c>
      <c r="CJ11" s="6">
        <v>33.55455602340671</v>
      </c>
      <c r="CK11" s="14"/>
      <c r="CL11" s="14">
        <v>65.42882695306558</v>
      </c>
      <c r="CM11" s="14">
        <v>2651.7925423224183</v>
      </c>
      <c r="CN11" s="14">
        <v>2717.221369275484</v>
      </c>
      <c r="CO11" s="14"/>
      <c r="CP11" s="14"/>
      <c r="CQ11" s="14"/>
      <c r="CR11" s="14"/>
      <c r="CS11" s="14">
        <f t="shared" si="5"/>
        <v>158.49866016420827</v>
      </c>
      <c r="CT11" s="14">
        <f t="shared" si="6"/>
        <v>7925.44884337834</v>
      </c>
      <c r="CU11" s="14">
        <f t="shared" si="7"/>
        <v>8029.603076157038</v>
      </c>
      <c r="CV11" s="6">
        <v>1799.6297565007844</v>
      </c>
      <c r="CW11" s="6">
        <v>4213.157136306553</v>
      </c>
      <c r="CX11" s="14"/>
      <c r="CY11" s="14">
        <f t="shared" si="23"/>
        <v>8.029603076157038</v>
      </c>
      <c r="CZ11" s="14">
        <v>287.21139399292406</v>
      </c>
      <c r="DA11" s="14">
        <v>3.2496995952728125</v>
      </c>
      <c r="DB11" s="14">
        <v>290.4610935881969</v>
      </c>
      <c r="DC11" s="6">
        <v>290.46109358819683</v>
      </c>
      <c r="DD11" s="14">
        <v>35.9530595424134</v>
      </c>
      <c r="DE11" s="48">
        <f t="shared" si="41"/>
        <v>33.48985664535681</v>
      </c>
      <c r="DF11" s="14">
        <v>125.44934907698052</v>
      </c>
      <c r="DG11" s="48">
        <f t="shared" si="42"/>
        <v>25.61715924837185</v>
      </c>
      <c r="DH11" s="14">
        <v>161.40240861939392</v>
      </c>
      <c r="DI11" s="14">
        <f t="shared" si="24"/>
        <v>59.10701589372866</v>
      </c>
      <c r="DJ11" s="40">
        <v>41.92258740444839</v>
      </c>
      <c r="DK11" s="14">
        <v>7.526452038015225</v>
      </c>
      <c r="DL11" s="48">
        <f t="shared" si="38"/>
        <v>-0.32500719635264463</v>
      </c>
      <c r="DM11" s="14">
        <v>403.876047190235</v>
      </c>
      <c r="DN11" s="48">
        <f t="shared" si="43"/>
        <v>85.66094211154484</v>
      </c>
      <c r="DO11" s="14">
        <v>411.40249922825024</v>
      </c>
      <c r="DP11" s="14">
        <f t="shared" si="36"/>
        <v>85.66094211154484</v>
      </c>
      <c r="DQ11" s="14">
        <v>29.836953560954562</v>
      </c>
      <c r="DR11" s="48">
        <f t="shared" si="44"/>
        <v>27.338223699036583</v>
      </c>
      <c r="DS11" s="14">
        <v>999.5579517980265</v>
      </c>
      <c r="DT11" s="48">
        <f t="shared" si="45"/>
        <v>898.2858746161205</v>
      </c>
      <c r="DU11" s="14">
        <v>1029.394905358981</v>
      </c>
      <c r="DV11" s="14">
        <f t="shared" si="25"/>
        <v>925.6240983151571</v>
      </c>
      <c r="DW11" s="14">
        <f>DX$3*EXP(-DX$1*$A11)+DX$4*(1-EXP(-DX$2*$A11))</f>
        <v>857.3982040731545</v>
      </c>
      <c r="DX11" s="14">
        <f>(DW11-DV11)^2</f>
        <v>4654.772645120923</v>
      </c>
      <c r="DY11" s="6">
        <v>300.71160239373404</v>
      </c>
      <c r="DZ11" s="14">
        <f>DT11/DN11</f>
        <v>10.486528077713672</v>
      </c>
      <c r="EA11" s="1">
        <f>DT11/CM11</f>
        <v>0.3387466629759088</v>
      </c>
      <c r="EB11" s="1">
        <v>0</v>
      </c>
      <c r="EC11" s="5">
        <f t="shared" si="8"/>
        <v>1151.5578595247027</v>
      </c>
      <c r="ED11" s="5">
        <f t="shared" si="9"/>
        <v>20.515918421418608</v>
      </c>
      <c r="EE11" s="5">
        <f t="shared" si="26"/>
        <v>158.49866016420827</v>
      </c>
      <c r="EF11" s="5">
        <f t="shared" si="27"/>
        <v>1330.5724381103296</v>
      </c>
      <c r="EG11" s="5">
        <f t="shared" si="10"/>
        <v>1406.0833416685418</v>
      </c>
      <c r="EH11" s="5">
        <f t="shared" si="11"/>
        <v>2073.622453809817</v>
      </c>
      <c r="EI11" s="1">
        <f t="shared" si="28"/>
        <v>1.1515578595247027</v>
      </c>
      <c r="EJ11" s="1">
        <f t="shared" si="29"/>
        <v>0.02051591842141861</v>
      </c>
      <c r="EK11" s="1">
        <f t="shared" si="30"/>
        <v>0.15849866016420827</v>
      </c>
      <c r="EL11" s="1">
        <f t="shared" si="31"/>
        <v>1.3305724381103297</v>
      </c>
      <c r="EM11" s="1">
        <f t="shared" si="32"/>
        <v>1.4060833416685419</v>
      </c>
      <c r="EN11" s="1">
        <f t="shared" si="33"/>
        <v>2.073622453809817</v>
      </c>
      <c r="EO11" s="47">
        <v>1887.9421225019894</v>
      </c>
      <c r="EP11" s="1">
        <f t="shared" si="34"/>
        <v>1.8879421225019895</v>
      </c>
      <c r="EQ11" s="1">
        <f t="shared" si="46"/>
        <v>2.630992138201477</v>
      </c>
      <c r="ER11" s="1"/>
      <c r="ES11" s="1">
        <f>(AH11/95)+(AQ11/35.5)+(BG11/62)+(BX11/48)</f>
        <v>19.307618658945945</v>
      </c>
      <c r="ET11" s="1">
        <f t="shared" si="13"/>
        <v>156.66011570671196</v>
      </c>
      <c r="EU11" s="1">
        <f t="shared" si="47"/>
        <v>21.81675732450676</v>
      </c>
      <c r="EV11" s="1">
        <f t="shared" si="14"/>
        <v>200.98049813491866</v>
      </c>
      <c r="EW11" s="1">
        <f t="shared" si="37"/>
        <v>1.1299558847666715</v>
      </c>
      <c r="EX11" s="1">
        <f t="shared" si="35"/>
        <v>1.282907887743299</v>
      </c>
      <c r="EZ11" s="21">
        <f t="shared" si="48"/>
        <v>0.9559603210421878</v>
      </c>
      <c r="FA11" s="21">
        <f t="shared" si="49"/>
        <v>0.016522963622529023</v>
      </c>
      <c r="FB11" s="62">
        <f>AH11/BY11</f>
        <v>0.0046052118823978715</v>
      </c>
      <c r="FC11" s="62"/>
    </row>
    <row r="12" spans="1:159" ht="12.75">
      <c r="A12" s="73">
        <v>195.83333333333334</v>
      </c>
      <c r="B12" s="7">
        <v>110</v>
      </c>
      <c r="C12" s="7">
        <v>330</v>
      </c>
      <c r="D12" s="60" t="s">
        <v>149</v>
      </c>
      <c r="E12" s="60">
        <v>2</v>
      </c>
      <c r="F12" s="13">
        <v>36479.649305555555</v>
      </c>
      <c r="G12" s="13">
        <v>36480.65277777778</v>
      </c>
      <c r="H12" s="8">
        <v>36479.649305555555</v>
      </c>
      <c r="I12" s="8">
        <v>36480.65277777778</v>
      </c>
      <c r="J12" s="11">
        <v>13.633333333333333</v>
      </c>
      <c r="K12">
        <v>-17.983333333333334</v>
      </c>
      <c r="L12" s="11">
        <v>8.4</v>
      </c>
      <c r="M12">
        <v>-16.89</v>
      </c>
      <c r="N12" s="14">
        <v>11.058550080573195</v>
      </c>
      <c r="O12" s="21">
        <v>-17.44866151987414</v>
      </c>
      <c r="P12" s="14">
        <v>11.058550080573195</v>
      </c>
      <c r="Q12" s="21">
        <v>-17.44866151987414</v>
      </c>
      <c r="R12" s="5">
        <v>233.3095155302294</v>
      </c>
      <c r="S12" s="5">
        <v>1476.771351673802</v>
      </c>
      <c r="T12" s="54">
        <v>3513.3999215274957</v>
      </c>
      <c r="U12" s="29">
        <f t="shared" si="15"/>
        <v>233.3095155302294</v>
      </c>
      <c r="V12" s="29">
        <f t="shared" si="16"/>
        <v>1476.771351673802</v>
      </c>
      <c r="W12" s="29">
        <f t="shared" si="16"/>
        <v>3513.3999215274957</v>
      </c>
      <c r="X12" s="1">
        <f>'HV'!BK14</f>
        <v>592.6074938523298</v>
      </c>
      <c r="Y12" s="1"/>
      <c r="Z12" s="151">
        <v>15.895000000064028</v>
      </c>
      <c r="AA12" s="148"/>
      <c r="AB12" s="14">
        <v>0</v>
      </c>
      <c r="AC12" s="14">
        <v>22.221511697752575</v>
      </c>
      <c r="AD12" s="14">
        <v>22.221511697752575</v>
      </c>
      <c r="AE12" s="14">
        <v>0</v>
      </c>
      <c r="AF12" s="14">
        <v>51.49750929478399</v>
      </c>
      <c r="AG12" s="14">
        <v>51.49750929478399</v>
      </c>
      <c r="AH12" s="14">
        <v>7.1949374170204035</v>
      </c>
      <c r="AI12" s="14">
        <v>5.484485142915938</v>
      </c>
      <c r="AJ12" s="14">
        <v>12.679422559936343</v>
      </c>
      <c r="AK12" s="14"/>
      <c r="AL12" s="6">
        <v>11.460467094973232</v>
      </c>
      <c r="AM12" s="6">
        <v>12.679422559936341</v>
      </c>
      <c r="AN12" s="14">
        <v>0</v>
      </c>
      <c r="AO12" s="14">
        <v>0</v>
      </c>
      <c r="AP12" s="14">
        <v>0</v>
      </c>
      <c r="AQ12" s="14">
        <v>1.5065959379492633</v>
      </c>
      <c r="AR12" s="14">
        <v>2280.3958410225223</v>
      </c>
      <c r="AS12" s="14">
        <v>2281.9024369604717</v>
      </c>
      <c r="AT12" s="14">
        <f t="shared" si="0"/>
        <v>29.21951011386882</v>
      </c>
      <c r="AU12" s="14">
        <f t="shared" si="1"/>
        <v>3091.0058572611615</v>
      </c>
      <c r="AV12" s="14">
        <f t="shared" si="17"/>
        <v>94.84386996196022</v>
      </c>
      <c r="AW12" s="14">
        <f t="shared" si="18"/>
        <v>26.224797158970578</v>
      </c>
      <c r="AX12" s="1">
        <f t="shared" si="2"/>
        <v>0.09271701706411813</v>
      </c>
      <c r="AY12" s="1">
        <f t="shared" si="3"/>
        <v>1.3266183533495517</v>
      </c>
      <c r="AZ12" s="14">
        <v>0</v>
      </c>
      <c r="BA12" s="14">
        <v>0</v>
      </c>
      <c r="BB12" s="14">
        <v>0</v>
      </c>
      <c r="BC12" s="1">
        <f t="shared" si="19"/>
        <v>0.10086200861639137</v>
      </c>
      <c r="BD12" s="1">
        <f t="shared" si="20"/>
        <v>10.669756549423274</v>
      </c>
      <c r="BE12" s="14">
        <f t="shared" si="21"/>
        <v>100</v>
      </c>
      <c r="BF12" s="14">
        <f t="shared" si="22"/>
        <v>100.00000000000001</v>
      </c>
      <c r="BG12" s="14">
        <v>3.8617007348067154</v>
      </c>
      <c r="BH12" s="14">
        <v>885.6499253748534</v>
      </c>
      <c r="BI12" s="6">
        <v>222.64785357632866</v>
      </c>
      <c r="BJ12" s="6">
        <v>525.3845632322341</v>
      </c>
      <c r="BK12" s="14">
        <v>889.51162610966</v>
      </c>
      <c r="BL12" s="14"/>
      <c r="BM12" s="14"/>
      <c r="BN12" s="14"/>
      <c r="BO12" s="17">
        <f t="shared" si="4"/>
        <v>1.501013124770432</v>
      </c>
      <c r="BP12" s="14">
        <v>1.9463052551038302</v>
      </c>
      <c r="BQ12" s="14">
        <v>12.236552374911389</v>
      </c>
      <c r="BR12" s="14">
        <v>14.182857630015217</v>
      </c>
      <c r="BS12" s="6">
        <v>4.856025292839829</v>
      </c>
      <c r="BT12" s="6">
        <v>8.530136648597283</v>
      </c>
      <c r="BU12" s="14">
        <v>0</v>
      </c>
      <c r="BV12" s="14">
        <v>31.42398527857741</v>
      </c>
      <c r="BW12" s="14">
        <v>31.42398527857741</v>
      </c>
      <c r="BX12" s="14">
        <v>1174.7276601822239</v>
      </c>
      <c r="BY12" s="14">
        <f t="shared" si="39"/>
        <v>1170.6336935915338</v>
      </c>
      <c r="BZ12" s="14">
        <v>1092.7614291817154</v>
      </c>
      <c r="CA12" s="14">
        <f t="shared" si="40"/>
        <v>659.67837399223</v>
      </c>
      <c r="CB12" s="14">
        <v>2267.4890893639395</v>
      </c>
      <c r="CC12" s="14">
        <f>IF(BY12&gt;0,BY12,0)+IF(CA12&gt;0,CA12,0)</f>
        <v>1830.3120675837638</v>
      </c>
      <c r="CD12" s="6">
        <v>1599.3171326420274</v>
      </c>
      <c r="CE12" s="6">
        <v>1695.107198406304</v>
      </c>
      <c r="CF12" s="14">
        <v>52.00685057072476</v>
      </c>
      <c r="CG12" s="14">
        <v>88.82030144412161</v>
      </c>
      <c r="CH12" s="14">
        <v>140.8271520148464</v>
      </c>
      <c r="CI12" s="6">
        <v>96.35576804176345</v>
      </c>
      <c r="CJ12" s="6">
        <v>118.31989708193923</v>
      </c>
      <c r="CK12" s="14"/>
      <c r="CL12" s="14">
        <v>16.249400440777578</v>
      </c>
      <c r="CM12" s="14">
        <v>1718.9539367255074</v>
      </c>
      <c r="CN12" s="14">
        <v>1735.203337166285</v>
      </c>
      <c r="CO12" s="14"/>
      <c r="CP12" s="14"/>
      <c r="CQ12" s="14"/>
      <c r="CR12" s="14"/>
      <c r="CS12" s="14">
        <f t="shared" si="5"/>
        <v>25.393214585892302</v>
      </c>
      <c r="CT12" s="14">
        <f t="shared" si="6"/>
        <v>4807.258128009018</v>
      </c>
      <c r="CU12" s="14">
        <f t="shared" si="7"/>
        <v>4797.947275851585</v>
      </c>
      <c r="CV12" s="6">
        <v>679.7169004627258</v>
      </c>
      <c r="CW12" s="6">
        <v>1519.5876205501006</v>
      </c>
      <c r="CX12" s="14"/>
      <c r="CY12" s="14">
        <f t="shared" si="23"/>
        <v>4.797947275851585</v>
      </c>
      <c r="CZ12" s="14">
        <v>434.5371806164692</v>
      </c>
      <c r="DA12" s="14">
        <v>93.82656377731315</v>
      </c>
      <c r="DB12" s="14">
        <v>528.3637443937823</v>
      </c>
      <c r="DC12" s="6">
        <v>525.2356079138452</v>
      </c>
      <c r="DD12" s="14">
        <v>183.04233037139227</v>
      </c>
      <c r="DE12" s="48">
        <f t="shared" si="41"/>
        <v>182.43058823715123</v>
      </c>
      <c r="DF12" s="14">
        <v>146.63038099752197</v>
      </c>
      <c r="DG12" s="48">
        <f t="shared" si="42"/>
        <v>81.91682102667934</v>
      </c>
      <c r="DH12" s="14">
        <v>329.67271136891424</v>
      </c>
      <c r="DI12" s="14">
        <f t="shared" si="24"/>
        <v>264.34740926383057</v>
      </c>
      <c r="DJ12" s="40">
        <v>230.66979663236177</v>
      </c>
      <c r="DK12" s="14">
        <v>1.54123928986482</v>
      </c>
      <c r="DL12" s="48">
        <f t="shared" si="38"/>
        <v>-0.4086887630284892</v>
      </c>
      <c r="DM12" s="14">
        <v>268.81982755522415</v>
      </c>
      <c r="DN12" s="48">
        <f t="shared" si="43"/>
        <v>62.54535514816325</v>
      </c>
      <c r="DO12" s="14">
        <v>270.361066845089</v>
      </c>
      <c r="DP12" s="14">
        <f t="shared" si="36"/>
        <v>62.54535514816325</v>
      </c>
      <c r="DQ12" s="14">
        <v>1.9026971136680195</v>
      </c>
      <c r="DR12" s="48">
        <f t="shared" si="44"/>
        <v>1.2821317755677355</v>
      </c>
      <c r="DS12" s="14">
        <v>489.0959097364499</v>
      </c>
      <c r="DT12" s="48">
        <f t="shared" si="45"/>
        <v>423.4489811121817</v>
      </c>
      <c r="DU12" s="14">
        <v>490.9986068501179</v>
      </c>
      <c r="DV12" s="14">
        <f t="shared" si="25"/>
        <v>424.7311128877494</v>
      </c>
      <c r="DW12" s="14">
        <f>DX$3*EXP(-DX$1*$A12)+DX$4*(1-EXP(-DX$2*$A12))</f>
        <v>507.7905839205049</v>
      </c>
      <c r="DX12" s="14">
        <f>(DW12-DV12)^2</f>
        <v>6898.875728241147</v>
      </c>
      <c r="DY12" s="6">
        <v>47.584313918343305</v>
      </c>
      <c r="DZ12" s="14">
        <f>DT12/DN12</f>
        <v>6.770270631753172</v>
      </c>
      <c r="EA12" s="1">
        <f>DT12/CM12</f>
        <v>0.2463410869047624</v>
      </c>
      <c r="EB12" s="1">
        <v>0</v>
      </c>
      <c r="EC12" s="5">
        <f t="shared" si="8"/>
        <v>1791.4631631799607</v>
      </c>
      <c r="ED12" s="5">
        <f t="shared" si="9"/>
        <v>61.148093242848994</v>
      </c>
      <c r="EE12" s="5">
        <f t="shared" si="26"/>
        <v>25.393214585892302</v>
      </c>
      <c r="EF12" s="5">
        <f t="shared" si="27"/>
        <v>1878.004471008702</v>
      </c>
      <c r="EG12" s="5">
        <f t="shared" si="10"/>
        <v>2111.313986538931</v>
      </c>
      <c r="EH12" s="5">
        <f t="shared" si="11"/>
        <v>3588.0853382127334</v>
      </c>
      <c r="EI12" s="1">
        <f t="shared" si="28"/>
        <v>1.7914631631799607</v>
      </c>
      <c r="EJ12" s="1">
        <f t="shared" si="29"/>
        <v>0.06114809324284899</v>
      </c>
      <c r="EK12" s="1">
        <f t="shared" si="30"/>
        <v>0.0253932145858923</v>
      </c>
      <c r="EL12" s="1">
        <f t="shared" si="31"/>
        <v>1.878004471008702</v>
      </c>
      <c r="EM12" s="1">
        <f t="shared" si="32"/>
        <v>2.111313986538931</v>
      </c>
      <c r="EN12" s="1">
        <f t="shared" si="33"/>
        <v>3.5880853382127333</v>
      </c>
      <c r="EO12" s="47">
        <v>1871.2035688012556</v>
      </c>
      <c r="EP12" s="1">
        <f t="shared" si="34"/>
        <v>1.8712035688012556</v>
      </c>
      <c r="EQ12" s="1">
        <f t="shared" si="46"/>
        <v>3.5812844360052867</v>
      </c>
      <c r="ER12" s="1"/>
      <c r="ES12" s="1">
        <f>(AH12/95)+(AQ12/35.5)+(BG12/62)+(BX12/48)</f>
        <v>24.653953921718497</v>
      </c>
      <c r="ET12" s="1">
        <f t="shared" si="13"/>
        <v>101.34477331024756</v>
      </c>
      <c r="EU12" s="1">
        <f t="shared" si="47"/>
        <v>29.759277235349433</v>
      </c>
      <c r="EV12" s="1">
        <f t="shared" si="14"/>
        <v>129.66984961038634</v>
      </c>
      <c r="EW12" s="1">
        <f t="shared" si="37"/>
        <v>1.2070792916155118</v>
      </c>
      <c r="EX12" s="1">
        <f t="shared" si="35"/>
        <v>1.2794922261400397</v>
      </c>
      <c r="EZ12" s="21">
        <f t="shared" si="48"/>
        <v>0.9898620049301061</v>
      </c>
      <c r="FA12" s="21">
        <f t="shared" si="49"/>
        <v>0.37928205613085947</v>
      </c>
      <c r="FB12" s="62">
        <f>AH12/BY12</f>
        <v>0.006146190269772736</v>
      </c>
      <c r="FC12" s="62"/>
    </row>
    <row r="13" spans="1:159" ht="12.75">
      <c r="A13" s="73">
        <v>386.6666666666667</v>
      </c>
      <c r="B13" s="7">
        <v>330</v>
      </c>
      <c r="C13" s="7">
        <v>440</v>
      </c>
      <c r="D13" s="60" t="s">
        <v>150</v>
      </c>
      <c r="E13" s="60">
        <v>2</v>
      </c>
      <c r="F13" s="13">
        <v>36480.65972222222</v>
      </c>
      <c r="G13" s="13">
        <v>36481.63888888889</v>
      </c>
      <c r="H13" s="8">
        <v>36480.65972222222</v>
      </c>
      <c r="I13" s="8">
        <v>36481.63888888889</v>
      </c>
      <c r="J13" s="11">
        <v>8.4</v>
      </c>
      <c r="K13">
        <v>-16.883333333333333</v>
      </c>
      <c r="L13" s="11">
        <v>4.208333333333333</v>
      </c>
      <c r="M13">
        <v>-14.9</v>
      </c>
      <c r="N13" s="14">
        <v>6.132229058318249</v>
      </c>
      <c r="O13" s="21">
        <v>-15.90034334827066</v>
      </c>
      <c r="P13" s="14">
        <v>6.132229058318249</v>
      </c>
      <c r="Q13" s="21">
        <v>-15.90034334827066</v>
      </c>
      <c r="R13" s="5">
        <v>256.33832132094415</v>
      </c>
      <c r="S13" s="5">
        <v>1339.1389727089454</v>
      </c>
      <c r="T13" s="54">
        <v>3397.2116335995393</v>
      </c>
      <c r="U13" s="29">
        <f t="shared" si="15"/>
        <v>256.33832132094415</v>
      </c>
      <c r="V13" s="29">
        <f t="shared" si="16"/>
        <v>1339.1389727089454</v>
      </c>
      <c r="W13" s="29">
        <f t="shared" si="16"/>
        <v>3397.2116335995393</v>
      </c>
      <c r="X13" s="1">
        <f>'HV'!BK15</f>
        <v>793.2826451089763</v>
      </c>
      <c r="Y13" s="1"/>
      <c r="Z13" s="151">
        <v>15.510000000076834</v>
      </c>
      <c r="AA13" s="148"/>
      <c r="AB13" s="14">
        <v>3.8311964457837275</v>
      </c>
      <c r="AC13" s="14">
        <v>25.871815401187114</v>
      </c>
      <c r="AD13" s="14">
        <v>29.703011846970846</v>
      </c>
      <c r="AE13" s="14">
        <v>3.2733179120715636</v>
      </c>
      <c r="AF13" s="14">
        <v>13.813918782986704</v>
      </c>
      <c r="AG13" s="14">
        <v>17.08723669505827</v>
      </c>
      <c r="AH13" s="14"/>
      <c r="AI13" s="14"/>
      <c r="AJ13" s="14"/>
      <c r="AK13" s="14"/>
      <c r="AL13" s="6"/>
      <c r="AM13" s="6"/>
      <c r="AN13" s="14">
        <v>0</v>
      </c>
      <c r="AO13" s="14">
        <v>0</v>
      </c>
      <c r="AP13" s="14">
        <v>0</v>
      </c>
      <c r="AQ13" s="14">
        <v>46.44487484770029</v>
      </c>
      <c r="AR13" s="14">
        <v>1853.1614610210584</v>
      </c>
      <c r="AS13" s="14">
        <v>1899.6063358687586</v>
      </c>
      <c r="AT13" s="14">
        <f t="shared" si="0"/>
        <v>119.15075471973238</v>
      </c>
      <c r="AU13" s="14">
        <f t="shared" si="1"/>
        <v>2467.8777118372695</v>
      </c>
      <c r="AV13" s="14">
        <f t="shared" si="17"/>
        <v>61.02007498236297</v>
      </c>
      <c r="AW13" s="14">
        <f t="shared" si="18"/>
        <v>24.908699805817008</v>
      </c>
      <c r="AX13" s="1">
        <f t="shared" si="2"/>
        <v>0.7009331313126225</v>
      </c>
      <c r="AY13" s="1">
        <f t="shared" si="3"/>
        <v>1.3502842849397432</v>
      </c>
      <c r="AZ13" s="14">
        <v>0</v>
      </c>
      <c r="BA13" s="14">
        <v>0</v>
      </c>
      <c r="BB13" s="14">
        <v>0</v>
      </c>
      <c r="BC13" s="1">
        <f t="shared" si="19"/>
        <v>0.4112931531828465</v>
      </c>
      <c r="BD13" s="1">
        <f t="shared" si="20"/>
        <v>8.518797956074739</v>
      </c>
      <c r="BE13" s="14">
        <f t="shared" si="21"/>
        <v>100</v>
      </c>
      <c r="BF13" s="14">
        <f t="shared" si="22"/>
        <v>100</v>
      </c>
      <c r="BG13" s="14" t="s">
        <v>268</v>
      </c>
      <c r="BH13" s="14">
        <v>856.3334066772537</v>
      </c>
      <c r="BI13" s="6">
        <v>309.85383602070874</v>
      </c>
      <c r="BJ13" s="6">
        <v>591.5899476892034</v>
      </c>
      <c r="BK13" s="14">
        <v>869.062283668809</v>
      </c>
      <c r="BL13" s="14"/>
      <c r="BM13" s="14"/>
      <c r="BN13" s="14"/>
      <c r="BO13" s="17">
        <f t="shared" si="4"/>
        <v>1.0955266562643917</v>
      </c>
      <c r="BP13" s="14">
        <v>4.593810444851518</v>
      </c>
      <c r="BQ13" s="14">
        <v>8.970077550245698</v>
      </c>
      <c r="BR13" s="14">
        <v>13.563887995097216</v>
      </c>
      <c r="BS13" s="6">
        <v>8.744863174037917</v>
      </c>
      <c r="BT13" s="6">
        <v>11.514044347460691</v>
      </c>
      <c r="BU13" s="14">
        <v>9.037770213365931</v>
      </c>
      <c r="BV13" s="14">
        <v>17.643359397720463</v>
      </c>
      <c r="BW13" s="14">
        <v>26.681129611086394</v>
      </c>
      <c r="BX13" s="14">
        <v>1513.3143280657894</v>
      </c>
      <c r="BY13" s="14">
        <f t="shared" si="39"/>
        <v>1496.620030071842</v>
      </c>
      <c r="BZ13" s="14">
        <v>560.2671081138159</v>
      </c>
      <c r="CA13" s="14">
        <f t="shared" si="40"/>
        <v>214.49098583123117</v>
      </c>
      <c r="CB13" s="14">
        <v>2073.581436179605</v>
      </c>
      <c r="CC13" s="14">
        <f>IF(BY13&gt;0,BY13,0)+IF(CA13&gt;0,CA13,0)</f>
        <v>1711.1110159030732</v>
      </c>
      <c r="CD13" s="6">
        <v>1681.9883956231113</v>
      </c>
      <c r="CE13" s="6">
        <v>1716.0878582118464</v>
      </c>
      <c r="CF13" s="14">
        <v>62.737562215034146</v>
      </c>
      <c r="CG13" s="14">
        <v>56.97007588301888</v>
      </c>
      <c r="CH13" s="14">
        <v>119.70763809805304</v>
      </c>
      <c r="CI13" s="6">
        <v>94.51459595278776</v>
      </c>
      <c r="CJ13" s="6">
        <v>111.40780253523148</v>
      </c>
      <c r="CK13" s="14"/>
      <c r="CL13" s="14">
        <v>66.26149167856279</v>
      </c>
      <c r="CM13" s="14">
        <v>1372.4231865023567</v>
      </c>
      <c r="CN13" s="14">
        <v>1438.6846781809195</v>
      </c>
      <c r="CO13" s="14"/>
      <c r="CP13" s="14"/>
      <c r="CQ13" s="14"/>
      <c r="CR13" s="14"/>
      <c r="CS13" s="14">
        <f t="shared" si="5"/>
        <v>143.84926761518759</v>
      </c>
      <c r="CT13" s="14">
        <f t="shared" si="6"/>
        <v>3870.623545179523</v>
      </c>
      <c r="CU13" s="14">
        <f t="shared" si="7"/>
        <v>3985.6991192310916</v>
      </c>
      <c r="CV13" s="6">
        <v>1090.605163157727</v>
      </c>
      <c r="CW13" s="6">
        <v>2276.8641381232433</v>
      </c>
      <c r="CX13" s="14"/>
      <c r="CY13" s="14">
        <f t="shared" si="23"/>
        <v>3.9856991192310915</v>
      </c>
      <c r="CZ13" s="14">
        <v>538.2111215428914</v>
      </c>
      <c r="DA13" s="14">
        <v>21.150814412145383</v>
      </c>
      <c r="DB13" s="14">
        <v>559.3619359550368</v>
      </c>
      <c r="DC13" s="6">
        <v>557.006474941741</v>
      </c>
      <c r="DD13" s="14">
        <v>206.59930803089142</v>
      </c>
      <c r="DE13" s="48">
        <f t="shared" si="41"/>
        <v>204.10475775593378</v>
      </c>
      <c r="DF13" s="14">
        <v>85.6032476178867</v>
      </c>
      <c r="DG13" s="48">
        <f t="shared" si="42"/>
        <v>33.9355511848568</v>
      </c>
      <c r="DH13" s="14">
        <v>292.2025556487781</v>
      </c>
      <c r="DI13" s="14">
        <f t="shared" si="24"/>
        <v>238.04030894079057</v>
      </c>
      <c r="DJ13" s="40">
        <v>222.57425515701317</v>
      </c>
      <c r="DK13" s="14">
        <v>4.749376930021604</v>
      </c>
      <c r="DL13" s="48">
        <f t="shared" si="38"/>
        <v>-3.2020020714059303</v>
      </c>
      <c r="DM13" s="14">
        <v>182.6749883638597</v>
      </c>
      <c r="DN13" s="48">
        <f t="shared" si="43"/>
        <v>17.984205983576913</v>
      </c>
      <c r="DO13" s="14">
        <v>187.42436529388132</v>
      </c>
      <c r="DP13" s="14">
        <f t="shared" si="36"/>
        <v>17.984205983576913</v>
      </c>
      <c r="DQ13" s="14">
        <v>21.507091031949386</v>
      </c>
      <c r="DR13" s="48">
        <f t="shared" si="44"/>
        <v>18.97656166648753</v>
      </c>
      <c r="DS13" s="14">
        <v>224.6094325164365</v>
      </c>
      <c r="DT13" s="48">
        <f t="shared" si="45"/>
        <v>172.19652892331482</v>
      </c>
      <c r="DU13" s="14">
        <v>246.11652354838589</v>
      </c>
      <c r="DV13" s="14">
        <f t="shared" si="25"/>
        <v>191.17309058980234</v>
      </c>
      <c r="DW13" s="14">
        <f>DX$3*EXP(-DX$1*$A13)+DX$4*(1-EXP(-DX$2*$A13))</f>
        <v>133.51793226144653</v>
      </c>
      <c r="DX13" s="14">
        <f>(DW13-DV13)^2</f>
        <v>3324.1172818677765</v>
      </c>
      <c r="DY13" s="6">
        <v>58.318007395893936</v>
      </c>
      <c r="DZ13" s="14">
        <f>DT13/DN13</f>
        <v>9.574875258911282</v>
      </c>
      <c r="EA13" s="1">
        <f>DT13/CM13</f>
        <v>0.12546897386815545</v>
      </c>
      <c r="EB13" s="1">
        <v>2.9394837302110983</v>
      </c>
      <c r="EC13" s="5"/>
      <c r="ED13" s="5">
        <f t="shared" si="9"/>
        <v>83.47365723110688</v>
      </c>
      <c r="EE13" s="5">
        <f t="shared" si="26"/>
        <v>143.84926761518759</v>
      </c>
      <c r="EF13" s="5">
        <f t="shared" si="27"/>
        <v>227.32292484629448</v>
      </c>
      <c r="EG13" s="5">
        <f t="shared" si="10"/>
        <v>483.66124616723863</v>
      </c>
      <c r="EH13" s="5">
        <f t="shared" si="11"/>
        <v>1822.800218876184</v>
      </c>
      <c r="EI13" s="1">
        <f t="shared" si="28"/>
        <v>0</v>
      </c>
      <c r="EJ13" s="1">
        <f t="shared" si="29"/>
        <v>0.08347365723110689</v>
      </c>
      <c r="EK13" s="1">
        <f t="shared" si="30"/>
        <v>0.1438492676151876</v>
      </c>
      <c r="EL13" s="1"/>
      <c r="EM13" s="1"/>
      <c r="EN13" s="1"/>
      <c r="EO13" s="47">
        <v>2500.23414532781</v>
      </c>
      <c r="EP13" s="1">
        <f t="shared" si="34"/>
        <v>2.50023414532781</v>
      </c>
      <c r="EQ13" s="1">
        <f t="shared" si="46"/>
        <v>4.095711439357699</v>
      </c>
      <c r="ER13" s="1"/>
      <c r="ES13" s="1"/>
      <c r="ET13" s="1">
        <f t="shared" si="13"/>
        <v>77.68579185536137</v>
      </c>
      <c r="EU13" s="1">
        <f t="shared" si="47"/>
        <v>39.53427514493848</v>
      </c>
      <c r="EV13" s="1">
        <f t="shared" si="14"/>
        <v>88.8850443333645</v>
      </c>
      <c r="EW13" s="1"/>
      <c r="EX13" s="1">
        <f t="shared" si="35"/>
        <v>1.1441608846422568</v>
      </c>
      <c r="EZ13" s="21">
        <f t="shared" si="48"/>
        <v>0.9589806554832861</v>
      </c>
      <c r="FA13" s="21">
        <f t="shared" si="49"/>
        <v>0.26295823830144627</v>
      </c>
      <c r="FB13" s="62"/>
      <c r="FC13" s="62"/>
    </row>
    <row r="14" spans="1:159" ht="12.75">
      <c r="A14" s="73">
        <v>499</v>
      </c>
      <c r="B14" s="7">
        <v>440</v>
      </c>
      <c r="C14" s="7">
        <v>575</v>
      </c>
      <c r="D14" s="60" t="s">
        <v>151</v>
      </c>
      <c r="E14" s="60">
        <v>2</v>
      </c>
      <c r="F14" s="13">
        <v>36481.70138888889</v>
      </c>
      <c r="G14" s="13">
        <v>36482.510416666664</v>
      </c>
      <c r="H14" s="8">
        <v>36481.70138888889</v>
      </c>
      <c r="I14" s="8">
        <v>36482.510416666664</v>
      </c>
      <c r="J14" s="11">
        <v>4.1</v>
      </c>
      <c r="K14">
        <v>-14.766666666666667</v>
      </c>
      <c r="L14" s="11">
        <v>0.8666666666666667</v>
      </c>
      <c r="M14">
        <v>-12.158333333333333</v>
      </c>
      <c r="N14" s="14">
        <v>2.4938461538454098</v>
      </c>
      <c r="O14" s="21">
        <v>-13.464461538460938</v>
      </c>
      <c r="P14" s="14">
        <v>2.4938461538454098</v>
      </c>
      <c r="Q14" s="21">
        <v>-13.464461538460938</v>
      </c>
      <c r="R14" s="5">
        <v>162.64840934620483</v>
      </c>
      <c r="S14" s="5">
        <v>662.9721412758349</v>
      </c>
      <c r="T14" s="54">
        <v>2401.6986253310056</v>
      </c>
      <c r="U14" s="29">
        <f t="shared" si="15"/>
        <v>162.64840934620483</v>
      </c>
      <c r="V14" s="29">
        <f t="shared" si="16"/>
        <v>662.9721412758349</v>
      </c>
      <c r="W14" s="29">
        <f t="shared" si="16"/>
        <v>2401.6986253310056</v>
      </c>
      <c r="X14" s="1">
        <f>'HV'!BK16</f>
        <v>484.32164220596485</v>
      </c>
      <c r="Y14" s="1"/>
      <c r="Z14" s="151">
        <v>12.81499999993597</v>
      </c>
      <c r="AA14" s="148"/>
      <c r="AB14" s="14">
        <v>0.6095145093436611</v>
      </c>
      <c r="AC14" s="14">
        <v>18.498985142347596</v>
      </c>
      <c r="AD14" s="14">
        <v>19.108499651691258</v>
      </c>
      <c r="AE14" s="14">
        <v>9.645325821857124</v>
      </c>
      <c r="AF14" s="14">
        <v>26.57700194172323</v>
      </c>
      <c r="AG14" s="14">
        <v>36.22232776358035</v>
      </c>
      <c r="AH14" s="14">
        <v>16.878796932897444</v>
      </c>
      <c r="AI14" s="14">
        <v>7.701559297996603</v>
      </c>
      <c r="AJ14" s="14">
        <v>24.58035623089405</v>
      </c>
      <c r="AK14" s="14"/>
      <c r="AL14" s="6">
        <v>20.870259611913355</v>
      </c>
      <c r="AM14" s="6">
        <v>22.667005387627885</v>
      </c>
      <c r="AN14" s="14">
        <v>0</v>
      </c>
      <c r="AO14" s="14">
        <v>0</v>
      </c>
      <c r="AP14" s="14">
        <v>0</v>
      </c>
      <c r="AQ14" s="14">
        <v>1.1923724293933946</v>
      </c>
      <c r="AR14" s="14">
        <v>3035.4308176241407</v>
      </c>
      <c r="AS14" s="14">
        <v>3036.6231900535336</v>
      </c>
      <c r="AT14" s="14">
        <f t="shared" si="0"/>
        <v>46.522042169358805</v>
      </c>
      <c r="AU14" s="14">
        <f t="shared" si="1"/>
        <v>3611.5331280911146</v>
      </c>
      <c r="AV14" s="14">
        <f t="shared" si="17"/>
        <v>97.4369731555363</v>
      </c>
      <c r="AW14" s="14">
        <f t="shared" si="18"/>
        <v>15.951738224023277</v>
      </c>
      <c r="AX14" s="1">
        <f t="shared" si="2"/>
        <v>0.04608809357420269</v>
      </c>
      <c r="AY14" s="1">
        <f t="shared" si="3"/>
        <v>1.5113474764603236</v>
      </c>
      <c r="AZ14" s="14">
        <v>0</v>
      </c>
      <c r="BA14" s="14">
        <v>0</v>
      </c>
      <c r="BB14" s="14">
        <v>0</v>
      </c>
      <c r="BC14" s="1">
        <f t="shared" si="19"/>
        <v>0.16058813442977</v>
      </c>
      <c r="BD14" s="1">
        <f t="shared" si="20"/>
        <v>12.466550057285612</v>
      </c>
      <c r="BE14" s="14">
        <f t="shared" si="21"/>
        <v>100</v>
      </c>
      <c r="BF14" s="14">
        <f t="shared" si="22"/>
        <v>100</v>
      </c>
      <c r="BG14" s="14">
        <v>1.810378462748023</v>
      </c>
      <c r="BH14" s="14">
        <v>726.886474420331</v>
      </c>
      <c r="BI14" s="6">
        <v>152.11082088644085</v>
      </c>
      <c r="BJ14" s="6">
        <v>396.3597479262878</v>
      </c>
      <c r="BK14" s="14">
        <v>728.696852883079</v>
      </c>
      <c r="BL14" s="14"/>
      <c r="BM14" s="14"/>
      <c r="BN14" s="14"/>
      <c r="BO14" s="17">
        <f t="shared" si="4"/>
        <v>1.5045721466504074</v>
      </c>
      <c r="BP14" s="14">
        <v>0</v>
      </c>
      <c r="BQ14" s="14">
        <v>8.621876011748112</v>
      </c>
      <c r="BR14" s="14">
        <v>8.621876011748112</v>
      </c>
      <c r="BS14" s="6">
        <v>1.674219877105517</v>
      </c>
      <c r="BT14" s="6">
        <v>5.315221829913408</v>
      </c>
      <c r="BU14" s="14">
        <v>5.518487530655743</v>
      </c>
      <c r="BV14" s="14">
        <v>17.675214111676294</v>
      </c>
      <c r="BW14" s="14">
        <v>23.193701642332037</v>
      </c>
      <c r="BX14" s="14">
        <v>1640.3980044121497</v>
      </c>
      <c r="BY14" s="14">
        <f t="shared" si="39"/>
        <v>1633.8797676029149</v>
      </c>
      <c r="BZ14" s="14">
        <v>656.9648785095901</v>
      </c>
      <c r="CA14" s="14">
        <f t="shared" si="40"/>
        <v>150.95037279214358</v>
      </c>
      <c r="CB14" s="14">
        <v>2297.3628829217396</v>
      </c>
      <c r="CC14" s="14">
        <f>IF(BY14&gt;0,BY14,0)+IF(CA14&gt;0,CA14,0)</f>
        <v>1784.8301403950584</v>
      </c>
      <c r="CD14" s="6">
        <v>1751.295248800156</v>
      </c>
      <c r="CE14" s="6">
        <v>1777.6098348832252</v>
      </c>
      <c r="CF14" s="14">
        <v>47.30213208256174</v>
      </c>
      <c r="CG14" s="14">
        <v>48.62783627414075</v>
      </c>
      <c r="CH14" s="14">
        <v>95.9299683567025</v>
      </c>
      <c r="CI14" s="6">
        <v>72.02827125865095</v>
      </c>
      <c r="CJ14" s="6">
        <v>86.44683800355327</v>
      </c>
      <c r="CK14" s="14"/>
      <c r="CL14" s="14">
        <v>25.87159365734347</v>
      </c>
      <c r="CM14" s="14">
        <v>2008.4268276500661</v>
      </c>
      <c r="CN14" s="14">
        <v>2034.2984213074099</v>
      </c>
      <c r="CO14" s="14"/>
      <c r="CP14" s="14"/>
      <c r="CQ14" s="14"/>
      <c r="CR14" s="14"/>
      <c r="CS14" s="14">
        <f t="shared" si="5"/>
        <v>39.223615105688296</v>
      </c>
      <c r="CT14" s="14">
        <f t="shared" si="6"/>
        <v>5987.818254269738</v>
      </c>
      <c r="CU14" s="14">
        <f t="shared" si="7"/>
        <v>5986.355900949278</v>
      </c>
      <c r="CV14" s="6">
        <v>973.8199195871538</v>
      </c>
      <c r="CW14" s="6">
        <v>2760.0153611333817</v>
      </c>
      <c r="CX14" s="14"/>
      <c r="CY14" s="14">
        <f t="shared" si="23"/>
        <v>5.986355900949278</v>
      </c>
      <c r="CZ14" s="14">
        <v>568.9552224021093</v>
      </c>
      <c r="DA14" s="14">
        <v>20.313261736753855</v>
      </c>
      <c r="DB14" s="14">
        <v>589.2684841388631</v>
      </c>
      <c r="DC14" s="6">
        <v>575.056952712526</v>
      </c>
      <c r="DD14" s="14">
        <v>160.78173370661685</v>
      </c>
      <c r="DE14" s="48">
        <f t="shared" si="41"/>
        <v>159.8077442983404</v>
      </c>
      <c r="DF14" s="14">
        <v>43.69361475441261</v>
      </c>
      <c r="DG14" s="48">
        <f t="shared" si="42"/>
        <v>-31.91774816888399</v>
      </c>
      <c r="DH14" s="14">
        <v>204.47534846102945</v>
      </c>
      <c r="DI14" s="14">
        <f t="shared" si="24"/>
        <v>159.8077442983404</v>
      </c>
      <c r="DJ14" s="40">
        <v>159.8077442983404</v>
      </c>
      <c r="DK14" s="14">
        <v>0.22442943796444553</v>
      </c>
      <c r="DL14" s="48">
        <f t="shared" si="38"/>
        <v>-2.880161800916771</v>
      </c>
      <c r="DM14" s="14">
        <v>223.74056708871055</v>
      </c>
      <c r="DN14" s="48">
        <f t="shared" si="43"/>
        <v>-17.270652229297383</v>
      </c>
      <c r="DO14" s="14">
        <v>223.964996526675</v>
      </c>
      <c r="DP14" s="14"/>
      <c r="DQ14" s="14">
        <v>0.07595950190244667</v>
      </c>
      <c r="DR14" s="48">
        <f t="shared" si="44"/>
        <v>-0.912077830531847</v>
      </c>
      <c r="DS14" s="14">
        <v>127.49686037341793</v>
      </c>
      <c r="DT14" s="48">
        <f t="shared" si="45"/>
        <v>50.794948946419936</v>
      </c>
      <c r="DU14" s="14">
        <v>127.57281987532036</v>
      </c>
      <c r="DV14" s="14">
        <f t="shared" si="25"/>
        <v>50.794948946419936</v>
      </c>
      <c r="DW14" s="14">
        <f>DX$3*EXP(-DX$1*$A14)+DX$4*(1-EXP(-DX$2*$A14))</f>
        <v>60.81901334295513</v>
      </c>
      <c r="DX14" s="14">
        <f>(DW14-DV14)^2</f>
        <v>100.4818670258845</v>
      </c>
      <c r="DY14" s="6">
        <v>14.463614962855186</v>
      </c>
      <c r="DZ14" s="14"/>
      <c r="EA14" s="1"/>
      <c r="EB14" s="1">
        <v>0.6095145093436611</v>
      </c>
      <c r="EC14" s="5">
        <f>BG14+BY14+CZ14+DE14</f>
        <v>2364.4531127661126</v>
      </c>
      <c r="ED14" s="5">
        <f t="shared" si="9"/>
        <v>79.95425687731571</v>
      </c>
      <c r="EE14" s="5">
        <f t="shared" si="26"/>
        <v>39.223615105688296</v>
      </c>
      <c r="EF14" s="5">
        <f t="shared" si="27"/>
        <v>2483.6309847491166</v>
      </c>
      <c r="EG14" s="5">
        <f t="shared" si="10"/>
        <v>2646.2793940953215</v>
      </c>
      <c r="EH14" s="5">
        <f t="shared" si="11"/>
        <v>3309.2515353711565</v>
      </c>
      <c r="EI14" s="1">
        <f t="shared" si="28"/>
        <v>2.3644531127661126</v>
      </c>
      <c r="EJ14" s="1">
        <f t="shared" si="29"/>
        <v>0.07995425687731571</v>
      </c>
      <c r="EK14" s="1">
        <f t="shared" si="30"/>
        <v>0.039223615105688295</v>
      </c>
      <c r="EL14" s="1">
        <f t="shared" si="31"/>
        <v>2.4836309847491167</v>
      </c>
      <c r="EM14" s="1">
        <f t="shared" si="32"/>
        <v>2.6462793940953215</v>
      </c>
      <c r="EN14" s="1">
        <f t="shared" si="33"/>
        <v>3.3092515353711565</v>
      </c>
      <c r="EO14" s="47">
        <v>2446.566816109215</v>
      </c>
      <c r="EP14" s="1">
        <f t="shared" si="34"/>
        <v>2.4465668161092147</v>
      </c>
      <c r="EQ14" s="1">
        <f t="shared" si="46"/>
        <v>3.2721873667312544</v>
      </c>
      <c r="ER14" s="1"/>
      <c r="ES14" s="1">
        <f>(AH14/95)+(AQ14/35.5)+(BG14/62)+(BX14/48)</f>
        <v>34.41541758029772</v>
      </c>
      <c r="ET14" s="1">
        <f t="shared" si="13"/>
        <v>110.99690619560265</v>
      </c>
      <c r="EU14" s="1">
        <f t="shared" si="47"/>
        <v>36.87783625164141</v>
      </c>
      <c r="EV14" s="1">
        <f t="shared" si="14"/>
        <v>113.84585757296837</v>
      </c>
      <c r="EW14" s="1">
        <f t="shared" si="37"/>
        <v>1.0715498705078443</v>
      </c>
      <c r="EX14" s="1">
        <f t="shared" si="35"/>
        <v>1.0256669440168467</v>
      </c>
      <c r="EZ14" s="21">
        <f t="shared" si="48"/>
        <v>0.9285958223422695</v>
      </c>
      <c r="FA14" s="21">
        <f t="shared" si="49"/>
        <v>0.35885103801145585</v>
      </c>
      <c r="FB14" s="62">
        <f>AH14/BY14</f>
        <v>0.01033050122020945</v>
      </c>
      <c r="FC14" s="62"/>
    </row>
    <row r="15" spans="1:159" ht="12.75">
      <c r="A15" s="73">
        <v>730.8333333333334</v>
      </c>
      <c r="B15" s="7">
        <v>580</v>
      </c>
      <c r="C15" s="7">
        <v>900</v>
      </c>
      <c r="D15" s="60" t="s">
        <v>152</v>
      </c>
      <c r="E15" s="60">
        <v>2</v>
      </c>
      <c r="F15" s="13">
        <v>36482.604166666664</v>
      </c>
      <c r="G15" s="13">
        <v>36483.600694444445</v>
      </c>
      <c r="H15" s="8">
        <v>36482.604166666664</v>
      </c>
      <c r="I15" s="8">
        <v>36483.600694444445</v>
      </c>
      <c r="J15" s="11">
        <v>0.5</v>
      </c>
      <c r="K15">
        <v>-11.85</v>
      </c>
      <c r="L15" s="11">
        <v>-3.815</v>
      </c>
      <c r="M15">
        <v>-8.285</v>
      </c>
      <c r="N15" s="40">
        <v>-1.666666666676962</v>
      </c>
      <c r="O15" s="22">
        <v>-10.058333333324821</v>
      </c>
      <c r="P15" s="22">
        <f>AVERAGE(J15,L16)</f>
        <v>-3.9833333333333334</v>
      </c>
      <c r="Q15" s="22">
        <f>AVERAGE(K15,M16)</f>
        <v>-8.141666666666666</v>
      </c>
      <c r="R15" s="5">
        <v>121.75410118162678</v>
      </c>
      <c r="S15" s="5">
        <v>530.6918903345136</v>
      </c>
      <c r="T15" s="54">
        <v>2031.514905082879</v>
      </c>
      <c r="U15" s="29">
        <f t="shared" si="15"/>
        <v>121.75410118162678</v>
      </c>
      <c r="V15" s="29">
        <f t="shared" si="16"/>
        <v>530.6918903345136</v>
      </c>
      <c r="W15" s="29">
        <f t="shared" si="16"/>
        <v>2031.514905082879</v>
      </c>
      <c r="X15" s="6">
        <f>'HV'!BK17</f>
        <v>368.4636285675546</v>
      </c>
      <c r="Y15" s="6"/>
      <c r="Z15" s="151">
        <v>15.785000000051223</v>
      </c>
      <c r="AA15" s="148"/>
      <c r="AB15" s="14">
        <v>3.071299602055285</v>
      </c>
      <c r="AC15" s="14">
        <v>9.608655628058777</v>
      </c>
      <c r="AD15" s="14">
        <v>12.67995523011406</v>
      </c>
      <c r="AE15" s="14">
        <v>0</v>
      </c>
      <c r="AF15" s="14">
        <v>2.252261017578537</v>
      </c>
      <c r="AG15" s="14">
        <v>2.252261017578537</v>
      </c>
      <c r="AH15" s="14">
        <v>6.857814015266523</v>
      </c>
      <c r="AI15" s="14">
        <v>0</v>
      </c>
      <c r="AJ15" s="14">
        <v>6.857814015266523</v>
      </c>
      <c r="AK15" s="14"/>
      <c r="AL15" s="6">
        <v>6.857814015266523</v>
      </c>
      <c r="AM15" s="6">
        <v>6.857814015266523</v>
      </c>
      <c r="AN15" s="14">
        <v>0</v>
      </c>
      <c r="AO15" s="14">
        <v>0</v>
      </c>
      <c r="AP15" s="14">
        <v>0</v>
      </c>
      <c r="AQ15" s="14">
        <v>1981.3237161128357</v>
      </c>
      <c r="AR15" s="14">
        <v>1945.3398036810613</v>
      </c>
      <c r="AS15" s="14">
        <v>3926.6635197938967</v>
      </c>
      <c r="AT15" s="14">
        <f t="shared" si="0"/>
        <v>2313.287133813024</v>
      </c>
      <c r="AU15" s="14">
        <f t="shared" si="1"/>
        <v>3523.3076519717106</v>
      </c>
      <c r="AV15" s="14">
        <f t="shared" si="17"/>
        <v>14.350290236258232</v>
      </c>
      <c r="AW15" s="14">
        <f t="shared" si="18"/>
        <v>44.786547306125485</v>
      </c>
      <c r="AX15" s="1">
        <f t="shared" si="2"/>
        <v>1.540144554756153</v>
      </c>
      <c r="AY15" s="1">
        <f t="shared" si="3"/>
        <v>0.9928428099794449</v>
      </c>
      <c r="AZ15" s="14">
        <v>0</v>
      </c>
      <c r="BA15" s="14">
        <v>0</v>
      </c>
      <c r="BB15" s="14">
        <v>0</v>
      </c>
      <c r="BC15" s="1">
        <f t="shared" si="19"/>
        <v>7.985171069383932</v>
      </c>
      <c r="BD15" s="1">
        <f t="shared" si="20"/>
        <v>12.162007007184409</v>
      </c>
      <c r="BE15" s="14">
        <f t="shared" si="21"/>
        <v>100</v>
      </c>
      <c r="BF15" s="14">
        <f t="shared" si="22"/>
        <v>100</v>
      </c>
      <c r="BG15" s="14"/>
      <c r="BH15" s="14"/>
      <c r="BI15" s="6"/>
      <c r="BK15" s="14"/>
      <c r="BL15" s="14"/>
      <c r="BM15" s="14"/>
      <c r="BN15" s="14"/>
      <c r="BO15" s="17"/>
      <c r="BP15" s="14">
        <v>0</v>
      </c>
      <c r="BQ15" s="14">
        <v>0</v>
      </c>
      <c r="BR15" s="14">
        <v>0</v>
      </c>
      <c r="BS15" s="6">
        <v>0</v>
      </c>
      <c r="BT15" s="6">
        <v>0</v>
      </c>
      <c r="BU15" s="14">
        <v>3.1380581526664084</v>
      </c>
      <c r="BV15" s="14">
        <v>4.689342131438695</v>
      </c>
      <c r="BW15" s="14">
        <v>7.827400284105104</v>
      </c>
      <c r="BX15" s="14">
        <v>1205.462015092488</v>
      </c>
      <c r="BY15" s="14">
        <f t="shared" si="39"/>
        <v>881.3456899523038</v>
      </c>
      <c r="BZ15" s="14">
        <v>339.1597106689448</v>
      </c>
      <c r="CA15" s="14">
        <f t="shared" si="40"/>
        <v>-154.49346009548617</v>
      </c>
      <c r="CB15" s="14">
        <v>1544.6217257614326</v>
      </c>
      <c r="CC15" s="102">
        <v>881.3456899523038</v>
      </c>
      <c r="CD15" s="6">
        <v>881.3456899523038</v>
      </c>
      <c r="CE15" s="6">
        <v>1219.6050564604122</v>
      </c>
      <c r="CF15" s="14">
        <v>5.7344312049227915</v>
      </c>
      <c r="CG15" s="14">
        <v>14.490830693332768</v>
      </c>
      <c r="CH15" s="14">
        <v>20.225261898255564</v>
      </c>
      <c r="CI15" s="6">
        <v>14.882556665140175</v>
      </c>
      <c r="CJ15" s="6">
        <v>18.94685843072724</v>
      </c>
      <c r="CK15" s="14"/>
      <c r="CL15" s="14">
        <v>1286.453086493906</v>
      </c>
      <c r="CM15" s="14">
        <v>1959.363339420604</v>
      </c>
      <c r="CN15" s="14">
        <v>3245.81642591451</v>
      </c>
      <c r="CO15" s="14"/>
      <c r="CP15" s="14"/>
      <c r="CQ15" s="14"/>
      <c r="CR15" s="14"/>
      <c r="CS15" s="14">
        <f t="shared" si="5"/>
        <v>3872.4097532588776</v>
      </c>
      <c r="CT15" s="14">
        <f t="shared" si="6"/>
        <v>4825.603912629349</v>
      </c>
      <c r="CU15" s="14">
        <f t="shared" si="7"/>
        <v>8633.097337369936</v>
      </c>
      <c r="CV15" s="6">
        <v>1296.131731658838</v>
      </c>
      <c r="CW15" s="6">
        <v>3258.2378003985477</v>
      </c>
      <c r="CX15" s="14"/>
      <c r="CY15" s="14">
        <f t="shared" si="23"/>
        <v>8.633097337369936</v>
      </c>
      <c r="CZ15" s="14">
        <v>174.40086102455916</v>
      </c>
      <c r="DA15" s="14">
        <v>25.199441472290733</v>
      </c>
      <c r="DB15" s="14">
        <v>199.6003024968499</v>
      </c>
      <c r="DC15" s="6">
        <v>175.93200681573572</v>
      </c>
      <c r="DD15" s="14">
        <v>32.67602090043245</v>
      </c>
      <c r="DE15" s="48">
        <f t="shared" si="41"/>
        <v>-15.755154120514604</v>
      </c>
      <c r="DF15" s="14">
        <v>50.604506311207345</v>
      </c>
      <c r="DG15" s="48">
        <f t="shared" si="42"/>
        <v>-23.15976058462715</v>
      </c>
      <c r="DH15" s="14">
        <v>83.28052721163981</v>
      </c>
      <c r="DI15" s="40">
        <v>34.11088523936509</v>
      </c>
      <c r="DJ15" s="40">
        <v>34.11088523936509</v>
      </c>
      <c r="DK15" s="14">
        <v>124.12531800973339</v>
      </c>
      <c r="DL15" s="48">
        <f t="shared" si="38"/>
        <v>-30.249052369535335</v>
      </c>
      <c r="DM15" s="14">
        <v>157.64787625352707</v>
      </c>
      <c r="DN15" s="48">
        <f t="shared" si="43"/>
        <v>-77.4757244769454</v>
      </c>
      <c r="DO15" s="14">
        <v>281.77319426326045</v>
      </c>
      <c r="DP15" s="14"/>
      <c r="DQ15" s="14">
        <v>0</v>
      </c>
      <c r="DR15" s="48">
        <f t="shared" si="44"/>
        <v>-49.129701583749174</v>
      </c>
      <c r="DS15" s="14">
        <v>68.24945229523306</v>
      </c>
      <c r="DT15" s="48">
        <f t="shared" si="45"/>
        <v>-6.578722296214451</v>
      </c>
      <c r="DU15" s="14">
        <v>68.24945229523306</v>
      </c>
      <c r="DV15" s="14"/>
      <c r="DW15" s="14"/>
      <c r="DX15" s="14"/>
      <c r="DY15" s="6"/>
      <c r="DZ15" s="14"/>
      <c r="EA15" s="1"/>
      <c r="EB15" s="1">
        <v>3.071299602055285</v>
      </c>
      <c r="EC15" s="5">
        <f>BG15+BY15+CZ15+DE15</f>
        <v>1039.9913968563485</v>
      </c>
      <c r="ED15" s="5">
        <f t="shared" si="9"/>
        <v>18.801602974911006</v>
      </c>
      <c r="EE15" s="5">
        <f t="shared" si="26"/>
        <v>3872.4097532588776</v>
      </c>
      <c r="EF15" s="5">
        <f t="shared" si="27"/>
        <v>4931.202753090137</v>
      </c>
      <c r="EG15" s="5">
        <f t="shared" si="10"/>
        <v>5052.956854271763</v>
      </c>
      <c r="EH15" s="5">
        <f t="shared" si="11"/>
        <v>5583.6487446062765</v>
      </c>
      <c r="EI15" s="1">
        <f t="shared" si="28"/>
        <v>1.0399913968563486</v>
      </c>
      <c r="EJ15" s="1">
        <f t="shared" si="29"/>
        <v>0.018801602974911007</v>
      </c>
      <c r="EK15" s="1">
        <f t="shared" si="30"/>
        <v>3.8724097532588777</v>
      </c>
      <c r="EL15" s="1">
        <f t="shared" si="31"/>
        <v>4.931202753090137</v>
      </c>
      <c r="EM15" s="1">
        <f t="shared" si="32"/>
        <v>5.0529568542717636</v>
      </c>
      <c r="EN15" s="1">
        <f t="shared" si="33"/>
        <v>5.583648744606276</v>
      </c>
      <c r="EO15" s="47">
        <v>1015.5430374743252</v>
      </c>
      <c r="EP15" s="1">
        <f t="shared" si="34"/>
        <v>1.015543037474325</v>
      </c>
      <c r="EQ15" s="1">
        <f t="shared" si="46"/>
        <v>1.6679890289904655</v>
      </c>
      <c r="ER15" s="1"/>
      <c r="ES15" s="1">
        <f>(AH15/95)+(AQ15/35.5)+(BG15/62)+(BX15/48)</f>
        <v>80.99791516219398</v>
      </c>
      <c r="ET15" s="1">
        <f>(AI15/95)+(AU15/35.5)+(BH15/62)+(BZ15/48)</f>
        <v>106.31393017804558</v>
      </c>
      <c r="EU15" s="1">
        <f t="shared" si="47"/>
        <v>76.38955174515937</v>
      </c>
      <c r="EV15" s="1">
        <f t="shared" si="14"/>
        <v>103.91153353919523</v>
      </c>
      <c r="EW15" s="1">
        <f t="shared" si="37"/>
        <v>0.9431051600796563</v>
      </c>
      <c r="EX15" s="1">
        <f t="shared" si="35"/>
        <v>0.9774028047422665</v>
      </c>
      <c r="EZ15" s="21">
        <f t="shared" si="48"/>
        <v>0.5276805322067509</v>
      </c>
      <c r="FA15" s="21">
        <f t="shared" si="49"/>
        <v>-0.4349602277743187</v>
      </c>
      <c r="FB15" s="62">
        <f>AH15/BY15</f>
        <v>0.007781071710508563</v>
      </c>
      <c r="FC15" s="62"/>
    </row>
    <row r="16" spans="6:159" ht="12.75">
      <c r="F16" s="13"/>
      <c r="G16" s="13"/>
      <c r="H16" s="8">
        <v>36483.604166666664</v>
      </c>
      <c r="I16" s="8">
        <v>36484.604166666664</v>
      </c>
      <c r="J16" s="11">
        <v>-3.8333333333333335</v>
      </c>
      <c r="K16">
        <v>-8.266666666666667</v>
      </c>
      <c r="L16" s="11">
        <v>-8.466666666666667</v>
      </c>
      <c r="M16">
        <v>-4.433333333333334</v>
      </c>
      <c r="N16" s="14">
        <v>-6.125052301450897</v>
      </c>
      <c r="O16" s="21">
        <v>-6.368585784954341</v>
      </c>
      <c r="P16" s="21"/>
      <c r="Q16" s="21"/>
      <c r="R16" s="5"/>
      <c r="S16" s="5"/>
      <c r="T16" s="5"/>
      <c r="U16" s="44"/>
      <c r="V16" s="29"/>
      <c r="W16" s="29"/>
      <c r="X16" s="44"/>
      <c r="Y16" s="44"/>
      <c r="Z16" s="142"/>
      <c r="AA16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"/>
      <c r="AY16" s="1"/>
      <c r="AZ16" s="14"/>
      <c r="BA16" s="14"/>
      <c r="BB16" s="14"/>
      <c r="BC16" s="1"/>
      <c r="BD16" s="1"/>
      <c r="BE16" s="14"/>
      <c r="BF16" s="14"/>
      <c r="BG16" s="14"/>
      <c r="BH16" s="14"/>
      <c r="BI16" s="14"/>
      <c r="BK16" s="14"/>
      <c r="BL16" s="14"/>
      <c r="BM16" s="14"/>
      <c r="BN16" s="14"/>
      <c r="BO16" s="17"/>
      <c r="BP16" s="14"/>
      <c r="BQ16" s="14"/>
      <c r="BR16" s="14"/>
      <c r="BU16" s="14"/>
      <c r="BV16" s="14"/>
      <c r="BW16" s="14"/>
      <c r="BX16" s="14"/>
      <c r="BY16" s="14"/>
      <c r="BZ16" s="14"/>
      <c r="CA16" s="14"/>
      <c r="CB16" s="14"/>
      <c r="CF16" s="14"/>
      <c r="CG16" s="14"/>
      <c r="CH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X16" s="14"/>
      <c r="CY16" s="14"/>
      <c r="CZ16" s="14"/>
      <c r="DA16" s="14"/>
      <c r="DB16" s="14"/>
      <c r="DD16" s="14"/>
      <c r="DE16" s="48"/>
      <c r="DF16" s="14"/>
      <c r="DG16" s="48"/>
      <c r="DH16" s="14"/>
      <c r="DI16" s="14"/>
      <c r="DK16" s="14"/>
      <c r="DL16" s="48"/>
      <c r="DM16" s="14"/>
      <c r="DN16" s="48"/>
      <c r="DO16" s="14"/>
      <c r="DP16" s="14"/>
      <c r="DQ16" s="14"/>
      <c r="DR16" s="48"/>
      <c r="DS16" s="14"/>
      <c r="DT16" s="48"/>
      <c r="DU16" s="14"/>
      <c r="DV16" s="14"/>
      <c r="DW16" s="14"/>
      <c r="DX16" s="14"/>
      <c r="DZ16" s="14"/>
      <c r="EA16" s="1"/>
      <c r="EB16" s="1"/>
      <c r="EC16" s="5"/>
      <c r="ED16" s="5"/>
      <c r="EE16" s="5"/>
      <c r="EF16" s="5"/>
      <c r="EG16" s="5"/>
      <c r="EH16" s="5"/>
      <c r="EI16" s="1"/>
      <c r="EJ16" s="1"/>
      <c r="EK16" s="1"/>
      <c r="EL16" s="1"/>
      <c r="EM16" s="1"/>
      <c r="EN16" s="1"/>
      <c r="EO16" s="5"/>
      <c r="EP16" s="1"/>
      <c r="EQ16" s="1"/>
      <c r="ER16" s="1"/>
      <c r="ES16" s="1"/>
      <c r="ET16" s="1"/>
      <c r="EU16" s="1"/>
      <c r="EV16" s="1"/>
      <c r="EW16" s="1"/>
      <c r="EX16" s="1"/>
      <c r="EZ16" s="21"/>
      <c r="FA16" s="21"/>
      <c r="FB16" s="62"/>
      <c r="FC16" s="62"/>
    </row>
    <row r="17" spans="1:159" ht="12.75">
      <c r="A17" s="73">
        <v>1315.8333333333333</v>
      </c>
      <c r="B17" s="73">
        <v>880</v>
      </c>
      <c r="C17" s="73">
        <v>1625</v>
      </c>
      <c r="D17" s="60" t="s">
        <v>153</v>
      </c>
      <c r="E17" s="60">
        <v>3</v>
      </c>
      <c r="F17" s="13">
        <v>36484.61111111111</v>
      </c>
      <c r="G17" s="13">
        <v>36486.59027777778</v>
      </c>
      <c r="H17" s="8">
        <v>36484.61111111111</v>
      </c>
      <c r="I17" s="8">
        <v>36485.583333333336</v>
      </c>
      <c r="J17" s="11">
        <v>-8.475</v>
      </c>
      <c r="K17">
        <v>-4.416666666666667</v>
      </c>
      <c r="L17" s="11">
        <v>-12.95</v>
      </c>
      <c r="M17">
        <v>-0.65</v>
      </c>
      <c r="N17" s="14">
        <v>-10.611957792216865</v>
      </c>
      <c r="O17" s="21">
        <v>-2.616509740252108</v>
      </c>
      <c r="P17" s="22">
        <f>AVERAGE(J17,L18)</f>
        <v>-13.054166666666667</v>
      </c>
      <c r="Q17" s="22">
        <f>AVERAGE(K17,M18)</f>
        <v>-0.5333333333333334</v>
      </c>
      <c r="R17" s="5">
        <v>26.036221949883064</v>
      </c>
      <c r="S17" s="5">
        <v>332.72297405813845</v>
      </c>
      <c r="T17" s="54">
        <v>1506.948654944426</v>
      </c>
      <c r="U17" s="47">
        <f>AVERAGE(R17:R18)</f>
        <v>12.895080908816727</v>
      </c>
      <c r="V17" s="47">
        <f>AVERAGE(S17:S18)</f>
        <v>318.39556936334975</v>
      </c>
      <c r="W17" s="47">
        <f>AVERAGE(T17:T18)</f>
        <v>1468.4232180375784</v>
      </c>
      <c r="X17" s="6">
        <f>AVERAGE('HV'!BK19:BK20)</f>
        <v>118.89695353326852</v>
      </c>
      <c r="Y17" s="6"/>
      <c r="Z17" s="151">
        <v>31.350000000076832</v>
      </c>
      <c r="AA17" s="148"/>
      <c r="AB17" s="14">
        <v>6.345829679620811</v>
      </c>
      <c r="AC17" s="14">
        <v>19.610907318548428</v>
      </c>
      <c r="AD17" s="14">
        <v>25.95673699816923</v>
      </c>
      <c r="AE17" s="14">
        <v>1.8230283943366032</v>
      </c>
      <c r="AF17" s="14">
        <v>14.357309152484158</v>
      </c>
      <c r="AG17" s="14">
        <v>16.18033754682076</v>
      </c>
      <c r="AH17" s="14">
        <v>24.671489265096362</v>
      </c>
      <c r="AI17" s="14">
        <v>11.78232508281004</v>
      </c>
      <c r="AJ17" s="14">
        <v>36.4538143479064</v>
      </c>
      <c r="AK17" s="14"/>
      <c r="AL17" s="6">
        <v>34.910742669579506</v>
      </c>
      <c r="AM17" s="6">
        <v>36.4538143479064</v>
      </c>
      <c r="AN17" s="14">
        <v>0</v>
      </c>
      <c r="AO17" s="14">
        <v>0</v>
      </c>
      <c r="AP17" s="14">
        <v>0</v>
      </c>
      <c r="AQ17" s="14">
        <v>78.81587807620876</v>
      </c>
      <c r="AR17" s="14">
        <v>2327.920740529829</v>
      </c>
      <c r="AS17" s="14">
        <v>2406.7366186060385</v>
      </c>
      <c r="AT17" s="14">
        <f>$AT$2*CL17</f>
        <v>162.13605514644357</v>
      </c>
      <c r="AU17" s="14">
        <f>$AT$2*CM17</f>
        <v>2745.271470055259</v>
      </c>
      <c r="AV17" s="14">
        <f t="shared" si="17"/>
        <v>51.3890491507141</v>
      </c>
      <c r="AW17" s="14">
        <f t="shared" si="18"/>
        <v>15.202530390083046</v>
      </c>
      <c r="AX17" s="1">
        <f>AQ17/CL17</f>
        <v>0.8741172790726796</v>
      </c>
      <c r="AY17" s="1">
        <f>AR17/CM17</f>
        <v>1.5248196571484616</v>
      </c>
      <c r="AZ17" s="14">
        <v>0</v>
      </c>
      <c r="BA17" s="14">
        <v>0</v>
      </c>
      <c r="BB17" s="14">
        <v>0</v>
      </c>
      <c r="BC17" s="1">
        <f t="shared" si="19"/>
        <v>0.5596729078440741</v>
      </c>
      <c r="BD17" s="1">
        <f t="shared" si="20"/>
        <v>9.476325701149298</v>
      </c>
      <c r="BE17" s="14">
        <f t="shared" si="21"/>
        <v>100</v>
      </c>
      <c r="BF17" s="14">
        <f t="shared" si="22"/>
        <v>100</v>
      </c>
      <c r="BG17" s="14">
        <v>14.78784165610411</v>
      </c>
      <c r="BH17" s="14">
        <v>376.5023923435749</v>
      </c>
      <c r="BI17" s="6">
        <v>211.17859125689873</v>
      </c>
      <c r="BJ17" s="6">
        <v>338.5151143825834</v>
      </c>
      <c r="BK17" s="14">
        <v>391.290233999679</v>
      </c>
      <c r="BL17" s="14"/>
      <c r="BM17" s="14"/>
      <c r="BN17" s="14"/>
      <c r="BO17" s="17">
        <f t="shared" si="4"/>
        <v>3.291003027173377</v>
      </c>
      <c r="BP17" s="14">
        <v>0</v>
      </c>
      <c r="BQ17" s="14">
        <v>1.6656786928188843</v>
      </c>
      <c r="BR17" s="14">
        <v>1.6656786928188843</v>
      </c>
      <c r="BS17" s="6">
        <v>0.9068670355639658</v>
      </c>
      <c r="BT17" s="6">
        <v>1.6656786928188843</v>
      </c>
      <c r="BU17" s="14">
        <v>4.996328333321088</v>
      </c>
      <c r="BV17" s="14">
        <v>5.75555420652497</v>
      </c>
      <c r="BW17" s="14">
        <v>10.751882539846058</v>
      </c>
      <c r="BX17" s="14">
        <v>859.2988365982661</v>
      </c>
      <c r="BY17" s="14">
        <f>BX17-BY$3*$CL17</f>
        <v>836.5818372259612</v>
      </c>
      <c r="BZ17" s="14">
        <v>427.83325550697907</v>
      </c>
      <c r="CA17" s="14">
        <f>BZ17-CA$3*$CM17</f>
        <v>43.19129412631264</v>
      </c>
      <c r="CB17" s="14">
        <v>1287.1320921052454</v>
      </c>
      <c r="CC17" s="102">
        <v>879.7731313522738</v>
      </c>
      <c r="CD17" s="102">
        <v>879.7731313522738</v>
      </c>
      <c r="CE17" s="6">
        <v>902.9775397112228</v>
      </c>
      <c r="CF17" s="14">
        <v>5.508243312905161</v>
      </c>
      <c r="CG17" s="14">
        <v>13.38560249805332</v>
      </c>
      <c r="CH17" s="14">
        <v>18.89384581095848</v>
      </c>
      <c r="CI17" s="6">
        <v>15.436152761365678</v>
      </c>
      <c r="CJ17" s="6">
        <v>18.293484162156126</v>
      </c>
      <c r="CK17" s="14"/>
      <c r="CL17" s="14">
        <v>90.16625110056373</v>
      </c>
      <c r="CM17" s="14">
        <v>1526.685945853579</v>
      </c>
      <c r="CN17" s="14">
        <v>1616.8521969541425</v>
      </c>
      <c r="CO17" s="14"/>
      <c r="CP17" s="14"/>
      <c r="CQ17" s="14"/>
      <c r="CR17" s="14"/>
      <c r="CS17" s="14">
        <f>1.47*CL17+AQ17</f>
        <v>211.36026719403742</v>
      </c>
      <c r="CT17" s="14">
        <f>1.47*CM17+AR17</f>
        <v>4572.1490809345905</v>
      </c>
      <c r="CU17" s="14">
        <f>1.45*CN17+AS17</f>
        <v>4751.172304189546</v>
      </c>
      <c r="CV17" s="6">
        <v>2161.9419348777064</v>
      </c>
      <c r="CW17" s="6">
        <v>3727.4278460299624</v>
      </c>
      <c r="CX17" s="14"/>
      <c r="CY17" s="14">
        <f t="shared" si="23"/>
        <v>4.751172304189546</v>
      </c>
      <c r="CZ17" s="14">
        <v>115.45144011926409</v>
      </c>
      <c r="DA17" s="14">
        <v>15.920539302959387</v>
      </c>
      <c r="DB17" s="14">
        <v>131.3719794222235</v>
      </c>
      <c r="DC17" s="6">
        <v>120.95650293990771</v>
      </c>
      <c r="DD17" s="14">
        <v>8.212856641287688</v>
      </c>
      <c r="DE17" s="48">
        <f>DD17-DE$3*$CL17</f>
        <v>4.818362482207642</v>
      </c>
      <c r="DF17" s="14">
        <v>64.26234762695574</v>
      </c>
      <c r="DG17" s="48">
        <f>DF17-DG$3*$CM17</f>
        <v>6.787112018350427</v>
      </c>
      <c r="DH17" s="14">
        <v>72.47520426824344</v>
      </c>
      <c r="DI17" s="14">
        <f>IF(DE17&gt;0,DE17,0)+IF(DG17&gt;0,DG17,0)</f>
        <v>11.60547450055807</v>
      </c>
      <c r="DJ17" s="40">
        <v>10.317489419735399</v>
      </c>
      <c r="DK17" s="14">
        <v>6.256372449745434</v>
      </c>
      <c r="DL17" s="48">
        <f>DK17-DL$3*$CL17</f>
        <v>-4.5635776823222125</v>
      </c>
      <c r="DM17" s="14">
        <v>196.30015114194313</v>
      </c>
      <c r="DN17" s="48">
        <f>DM17-DN$3*$CM17</f>
        <v>13.09783763951367</v>
      </c>
      <c r="DO17" s="14">
        <v>202.55652359168857</v>
      </c>
      <c r="DP17" s="14">
        <f>IF(DL17&gt;0,DL17,0)+IF(DN17&gt;0,DN17,0)</f>
        <v>13.09783763951367</v>
      </c>
      <c r="DQ17" s="14">
        <v>0</v>
      </c>
      <c r="DR17" s="48">
        <f>DQ17-DR$3*$CL17</f>
        <v>-3.443453209451393</v>
      </c>
      <c r="DS17" s="14">
        <v>72.6480779702765</v>
      </c>
      <c r="DT17" s="48">
        <f>DS17-DT$3*$CM17</f>
        <v>14.343872617316293</v>
      </c>
      <c r="DU17" s="14">
        <v>72.6480779702765</v>
      </c>
      <c r="DV17" s="14">
        <f>IF(DR17&gt;0,DR17,0)+IF(DT17&gt;0,DT17,0)</f>
        <v>14.343872617316293</v>
      </c>
      <c r="DW17" s="70"/>
      <c r="DX17" s="14"/>
      <c r="DY17" s="6">
        <v>5.226889100571</v>
      </c>
      <c r="DZ17" s="14"/>
      <c r="EA17" s="1"/>
      <c r="EB17" s="1">
        <v>3.2348100873285945</v>
      </c>
      <c r="EC17" s="5">
        <f>BG17+BY17+CZ17+DE17</f>
        <v>971.639481483537</v>
      </c>
      <c r="ED17" s="5">
        <f>AB17+AE17+AH17+BP17+BU17+CF17</f>
        <v>43.344918985280025</v>
      </c>
      <c r="EE17" s="5">
        <f t="shared" si="26"/>
        <v>211.36026719403742</v>
      </c>
      <c r="EF17" s="5">
        <f t="shared" si="27"/>
        <v>1226.3446676628546</v>
      </c>
      <c r="EG17" s="5">
        <f>EF17+U17</f>
        <v>1239.2397485716713</v>
      </c>
      <c r="EH17" s="5">
        <f>EG17+V17</f>
        <v>1557.635317935021</v>
      </c>
      <c r="EI17" s="1">
        <f t="shared" si="28"/>
        <v>0.971639481483537</v>
      </c>
      <c r="EJ17" s="1">
        <f t="shared" si="29"/>
        <v>0.04334491898528003</v>
      </c>
      <c r="EK17" s="1">
        <f t="shared" si="30"/>
        <v>0.21136026719403742</v>
      </c>
      <c r="EL17" s="1">
        <f t="shared" si="31"/>
        <v>1.2263446676628547</v>
      </c>
      <c r="EM17" s="1">
        <f t="shared" si="32"/>
        <v>1.2392397485716713</v>
      </c>
      <c r="EN17" s="1">
        <f t="shared" si="33"/>
        <v>1.557635317935021</v>
      </c>
      <c r="EO17" s="47">
        <v>1207.2723833335974</v>
      </c>
      <c r="EP17" s="1">
        <f t="shared" si="34"/>
        <v>1.2072723833335974</v>
      </c>
      <c r="EQ17" s="1">
        <f>EP17+U17/1000+V17/1000</f>
        <v>1.5385630336057639</v>
      </c>
      <c r="ER17" s="1"/>
      <c r="ES17" s="1">
        <f>(AH17/95)+(AQ17/35.5)+(BG17/62)+(BX17/48)</f>
        <v>20.62043813750819</v>
      </c>
      <c r="ET17" s="1">
        <f>(AI17/95)+(AR17/35.5)+(BH17/62)+(BZ17/48)</f>
        <v>80.68506865656676</v>
      </c>
      <c r="EU17" s="1">
        <f>(CL17/23)+(CZ17/18)+(DD17/39)+(DK17/12.5)+(DQ17/20)</f>
        <v>11.045336546200664</v>
      </c>
      <c r="EV17" s="1">
        <f>(CM17/23)+(DA17/18)+(DF17/39)+(DM17/12.5)+(DS17/20)</f>
        <v>88.24629271856534</v>
      </c>
      <c r="EW17" s="1">
        <f t="shared" si="37"/>
        <v>0.5356499446105077</v>
      </c>
      <c r="EX17" s="1">
        <f t="shared" si="35"/>
        <v>1.0937128044617856</v>
      </c>
      <c r="EZ17" s="21">
        <f>(CZ17/18)/(BY17/48)</f>
        <v>0.3680100299638089</v>
      </c>
      <c r="FA17" s="21">
        <f>(DA17/18)/(CA17/48)</f>
        <v>0.9829474280256498</v>
      </c>
      <c r="FB17" s="62">
        <f>AH17/BY17</f>
        <v>0.029490825843058052</v>
      </c>
      <c r="FC17" s="62"/>
    </row>
    <row r="18" spans="6:159" ht="12.75">
      <c r="F18" s="13"/>
      <c r="G18" s="13"/>
      <c r="H18" s="8">
        <v>36485.586805555555</v>
      </c>
      <c r="I18" s="8">
        <v>36486.59027777778</v>
      </c>
      <c r="J18" s="11">
        <v>-12.966666666666667</v>
      </c>
      <c r="K18">
        <v>-0.6333333333333333</v>
      </c>
      <c r="L18" s="11">
        <v>-17.633333333333333</v>
      </c>
      <c r="M18">
        <v>3.35</v>
      </c>
      <c r="N18" s="14">
        <v>-15.208815781720695</v>
      </c>
      <c r="O18" s="21">
        <v>1.2792793091234669</v>
      </c>
      <c r="P18" s="21"/>
      <c r="Q18" s="21"/>
      <c r="R18" s="5">
        <v>-0.2460601322496091</v>
      </c>
      <c r="S18" s="5">
        <v>304.0681646685611</v>
      </c>
      <c r="T18" s="54">
        <v>1429.8977811307311</v>
      </c>
      <c r="U18" s="23"/>
      <c r="V18" s="23"/>
      <c r="W18" s="23"/>
      <c r="X18" s="44"/>
      <c r="Y18" s="44"/>
      <c r="Z18" s="142"/>
      <c r="AA18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"/>
      <c r="AY18" s="1"/>
      <c r="AZ18" s="14"/>
      <c r="BA18" s="14"/>
      <c r="BB18" s="14"/>
      <c r="BC18" s="1"/>
      <c r="BD18" s="1"/>
      <c r="BE18" s="14"/>
      <c r="BF18" s="14"/>
      <c r="BG18" s="14"/>
      <c r="BH18" s="14"/>
      <c r="BK18" s="14"/>
      <c r="BL18" s="14"/>
      <c r="BM18" s="14"/>
      <c r="BN18" s="14"/>
      <c r="BO18" s="17"/>
      <c r="BP18" s="14"/>
      <c r="BQ18" s="14"/>
      <c r="BR18" s="14"/>
      <c r="BU18" s="14"/>
      <c r="BV18" s="14"/>
      <c r="BW18" s="14"/>
      <c r="BX18" s="14"/>
      <c r="BY18" s="14"/>
      <c r="BZ18" s="14"/>
      <c r="CA18" s="14"/>
      <c r="CB18" s="14"/>
      <c r="CF18" s="14"/>
      <c r="CG18" s="14"/>
      <c r="CH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X18" s="14"/>
      <c r="CY18" s="14"/>
      <c r="CZ18" s="14"/>
      <c r="DA18" s="14"/>
      <c r="DB18" s="14"/>
      <c r="DD18" s="14"/>
      <c r="DE18" s="48"/>
      <c r="DF18" s="14"/>
      <c r="DG18" s="48"/>
      <c r="DH18" s="14"/>
      <c r="DI18" s="14"/>
      <c r="DK18" s="14"/>
      <c r="DL18" s="48"/>
      <c r="DM18" s="14"/>
      <c r="DN18" s="48"/>
      <c r="DO18" s="14"/>
      <c r="DP18" s="14"/>
      <c r="DQ18" s="14"/>
      <c r="DR18" s="48"/>
      <c r="DS18" s="14"/>
      <c r="DT18" s="48"/>
      <c r="DU18" s="14"/>
      <c r="DV18" s="14"/>
      <c r="DW18" s="14"/>
      <c r="DX18" s="14"/>
      <c r="DZ18" s="14"/>
      <c r="EA18" s="1"/>
      <c r="EB18" s="1"/>
      <c r="EC18" s="5"/>
      <c r="ED18" s="5"/>
      <c r="EE18" s="5"/>
      <c r="EF18" s="5"/>
      <c r="EG18" s="5"/>
      <c r="EH18" s="5"/>
      <c r="EI18" s="1"/>
      <c r="EJ18" s="1"/>
      <c r="EK18" s="1"/>
      <c r="EL18" s="1"/>
      <c r="EM18" s="1"/>
      <c r="EN18" s="1"/>
      <c r="EO18" s="5"/>
      <c r="EP18" s="1"/>
      <c r="EQ18" s="1"/>
      <c r="ER18" s="1"/>
      <c r="ES18" s="1"/>
      <c r="ET18" s="1"/>
      <c r="EU18" s="1"/>
      <c r="EV18" s="1"/>
      <c r="EW18" s="1"/>
      <c r="EX18" s="1"/>
      <c r="EZ18" s="21"/>
      <c r="FA18" s="21"/>
      <c r="FB18" s="62"/>
      <c r="FC18" s="62"/>
    </row>
    <row r="19" spans="1:159" ht="12.75">
      <c r="A19" s="73">
        <v>622.5</v>
      </c>
      <c r="B19" s="73">
        <v>390</v>
      </c>
      <c r="C19" s="73">
        <v>880</v>
      </c>
      <c r="D19" s="60" t="s">
        <v>154</v>
      </c>
      <c r="E19" s="60">
        <v>3</v>
      </c>
      <c r="F19" s="13">
        <v>36486.59722222222</v>
      </c>
      <c r="G19" s="13">
        <v>36488.586805555555</v>
      </c>
      <c r="H19" s="8">
        <v>36486.59722222222</v>
      </c>
      <c r="I19" s="8">
        <v>36487.59027777778</v>
      </c>
      <c r="J19" s="11">
        <v>-17.666666666666668</v>
      </c>
      <c r="K19">
        <v>3.4</v>
      </c>
      <c r="L19" s="11">
        <v>-22.275</v>
      </c>
      <c r="M19">
        <v>7.433333333333334</v>
      </c>
      <c r="N19" s="14">
        <v>-19.970283564799804</v>
      </c>
      <c r="O19" s="21">
        <v>5.405844907394203</v>
      </c>
      <c r="P19" s="22">
        <f>AVERAGE(J19,L20)</f>
        <v>-21.941666666666666</v>
      </c>
      <c r="Q19" s="22">
        <f>AVERAGE(K19,M20)</f>
        <v>7.2</v>
      </c>
      <c r="R19" s="5">
        <v>4.520565372542771</v>
      </c>
      <c r="S19" s="5">
        <v>214.55437264541354</v>
      </c>
      <c r="T19" s="54">
        <v>1206.2639175153001</v>
      </c>
      <c r="U19" s="47">
        <f>AVERAGE(R19:R20)</f>
        <v>2.2602826862713856</v>
      </c>
      <c r="V19" s="47">
        <f>AVERAGE(S19:S20)</f>
        <v>273.12918009484804</v>
      </c>
      <c r="W19" s="47">
        <f>AVERAGE(T19:T20)</f>
        <v>1470.568321387254</v>
      </c>
      <c r="X19" s="6">
        <f>AVERAGE('HV'!BK21:BK22)</f>
        <v>53.442935368021004</v>
      </c>
      <c r="Y19" s="6"/>
      <c r="Z19" s="151">
        <v>31.515000000038416</v>
      </c>
      <c r="AA19" s="148"/>
      <c r="AB19" s="14">
        <v>4.1006015261444535</v>
      </c>
      <c r="AC19" s="14">
        <v>7.513955928691459</v>
      </c>
      <c r="AD19" s="14">
        <v>11.614557454835913</v>
      </c>
      <c r="AE19" s="14">
        <v>0.3046476306928315</v>
      </c>
      <c r="AF19" s="14">
        <v>5.340437262414088</v>
      </c>
      <c r="AG19" s="14">
        <v>5.64508489310692</v>
      </c>
      <c r="AH19" s="14">
        <v>38.21914915363684</v>
      </c>
      <c r="AI19" s="14">
        <v>14.325746195349824</v>
      </c>
      <c r="AJ19" s="14">
        <v>52.544895348986664</v>
      </c>
      <c r="AK19" s="14"/>
      <c r="AL19" s="6">
        <v>51.07336442353497</v>
      </c>
      <c r="AM19" s="6">
        <v>52.544895348986664</v>
      </c>
      <c r="AN19" s="14">
        <v>0</v>
      </c>
      <c r="AO19" s="14">
        <v>0</v>
      </c>
      <c r="AP19" s="14">
        <v>0</v>
      </c>
      <c r="AQ19" s="14">
        <v>127.59482942687283</v>
      </c>
      <c r="AR19" s="14">
        <v>2390.7985133246752</v>
      </c>
      <c r="AS19" s="14">
        <v>2518.3933427515485</v>
      </c>
      <c r="AT19" s="14">
        <f>$AT$2*CL19</f>
        <v>409.7539197790187</v>
      </c>
      <c r="AU19" s="14">
        <f>$AT$2*CM19</f>
        <v>2732.5442547555363</v>
      </c>
      <c r="AV19" s="14">
        <f t="shared" si="17"/>
        <v>68.8606201752298</v>
      </c>
      <c r="AW19" s="14">
        <f t="shared" si="18"/>
        <v>12.506503447697497</v>
      </c>
      <c r="AX19" s="1">
        <f>AQ19/CL19</f>
        <v>0.5599452281612525</v>
      </c>
      <c r="AY19" s="1">
        <f>AR19/CM19</f>
        <v>1.5732993452436659</v>
      </c>
      <c r="AZ19" s="14">
        <v>0</v>
      </c>
      <c r="BA19" s="14">
        <v>1.2174507843869025</v>
      </c>
      <c r="BB19" s="14">
        <v>1.2174507843869025</v>
      </c>
      <c r="BC19" s="1">
        <f t="shared" si="19"/>
        <v>1.414418079779346</v>
      </c>
      <c r="BD19" s="1">
        <f t="shared" si="20"/>
        <v>9.43239298310506</v>
      </c>
      <c r="BE19" s="14">
        <f t="shared" si="21"/>
        <v>100</v>
      </c>
      <c r="BF19" s="14">
        <f t="shared" si="22"/>
        <v>87.09287466534153</v>
      </c>
      <c r="BG19" s="14">
        <v>15.759036936518946</v>
      </c>
      <c r="BH19" s="14">
        <v>164.17730490079936</v>
      </c>
      <c r="BI19" s="6">
        <v>131.1928959801669</v>
      </c>
      <c r="BJ19" s="6">
        <v>170.57218742689028</v>
      </c>
      <c r="BK19" s="14">
        <v>179.9363418373183</v>
      </c>
      <c r="BL19" s="14"/>
      <c r="BM19" s="14"/>
      <c r="BN19" s="14"/>
      <c r="BO19" s="17">
        <f t="shared" si="4"/>
        <v>3.3668873275435387</v>
      </c>
      <c r="BP19" s="14">
        <v>0</v>
      </c>
      <c r="BQ19" s="14">
        <v>0.8644988432481926</v>
      </c>
      <c r="BR19" s="14">
        <v>0.8644988432481926</v>
      </c>
      <c r="BS19" s="6">
        <v>0.8644988432481926</v>
      </c>
      <c r="BT19" s="6">
        <v>0.8644988432481926</v>
      </c>
      <c r="BU19" s="14">
        <v>0</v>
      </c>
      <c r="BV19" s="14">
        <v>6.57652137854188</v>
      </c>
      <c r="BW19" s="14">
        <v>6.57652137854188</v>
      </c>
      <c r="BX19" s="14">
        <v>717.1371347231197</v>
      </c>
      <c r="BY19" s="14">
        <f>BX19-BY$3*$CL19</f>
        <v>659.7262181320383</v>
      </c>
      <c r="BZ19" s="14">
        <v>405.6165729286927</v>
      </c>
      <c r="CA19" s="14">
        <f>BZ19-CA$3*$CM19</f>
        <v>22.75783084316612</v>
      </c>
      <c r="CB19" s="14">
        <v>1122.7537076518122</v>
      </c>
      <c r="CC19" s="102">
        <v>682.4840489752044</v>
      </c>
      <c r="CD19" s="102">
        <v>682.4840489752044</v>
      </c>
      <c r="CE19" s="6">
        <v>750.896170461441</v>
      </c>
      <c r="CF19" s="14">
        <v>2.3927015097543416</v>
      </c>
      <c r="CG19" s="14">
        <v>8.00629838853538</v>
      </c>
      <c r="CH19" s="14">
        <v>10.398999898289718</v>
      </c>
      <c r="CI19" s="6">
        <v>9.269865158484656</v>
      </c>
      <c r="CJ19" s="6">
        <v>10.39899989828972</v>
      </c>
      <c r="CK19" s="14"/>
      <c r="CL19" s="14">
        <v>227.8701969581357</v>
      </c>
      <c r="CM19" s="14">
        <v>1519.6081537518205</v>
      </c>
      <c r="CN19" s="14">
        <v>1747.4783507099567</v>
      </c>
      <c r="CO19" s="14"/>
      <c r="CP19" s="14"/>
      <c r="CQ19" s="14"/>
      <c r="CR19" s="14"/>
      <c r="CS19" s="14">
        <f>1.47*CL19+AQ19</f>
        <v>462.5640189553323</v>
      </c>
      <c r="CT19" s="14">
        <f>1.47*CM19+AR19</f>
        <v>4624.622499339852</v>
      </c>
      <c r="CU19" s="14">
        <f>1.45*CN19+AS19</f>
        <v>5052.2369512809855</v>
      </c>
      <c r="CV19" s="6">
        <v>2935.9319887914708</v>
      </c>
      <c r="CW19" s="6">
        <v>4379.940073971772</v>
      </c>
      <c r="CX19" s="14"/>
      <c r="CY19" s="14">
        <f t="shared" si="23"/>
        <v>5.052236951280985</v>
      </c>
      <c r="CZ19" s="14">
        <v>50.682337439183016</v>
      </c>
      <c r="DA19" s="14">
        <v>2.1603126080062514</v>
      </c>
      <c r="DB19" s="14">
        <v>52.84265004718926</v>
      </c>
      <c r="DC19" s="6">
        <v>51.97941336897995</v>
      </c>
      <c r="DD19" s="14">
        <v>2.3852561429448946</v>
      </c>
      <c r="DE19" s="48">
        <f>DD19-DE$3*$CL19</f>
        <v>-6.193386566067272</v>
      </c>
      <c r="DF19" s="14">
        <v>48.28491231772631</v>
      </c>
      <c r="DG19" s="48">
        <f>DF19-DG$3*$CM19</f>
        <v>-8.923865235283401</v>
      </c>
      <c r="DH19" s="14">
        <v>50.670168460671206</v>
      </c>
      <c r="DI19" s="14"/>
      <c r="DJ19" s="40"/>
      <c r="DK19" s="14">
        <v>11.955280136507717</v>
      </c>
      <c r="DL19" s="48">
        <f>DK19-DL$3*$CL19</f>
        <v>-15.389143498468567</v>
      </c>
      <c r="DM19" s="14">
        <v>178.19055294806137</v>
      </c>
      <c r="DN19" s="48">
        <f>DM19-DN$3*$CM19</f>
        <v>-4.1624255021570775</v>
      </c>
      <c r="DO19" s="14">
        <v>190.1458330845691</v>
      </c>
      <c r="DP19" s="14"/>
      <c r="DQ19" s="14">
        <v>1.0968843266189228</v>
      </c>
      <c r="DR19" s="48">
        <f>DQ19-DR$3*$CL19</f>
        <v>-7.6054888060809205</v>
      </c>
      <c r="DS19" s="14">
        <v>53.45040856893968</v>
      </c>
      <c r="DT19" s="48">
        <f>DS19-DT$3*$CM19</f>
        <v>-4.583495583392292</v>
      </c>
      <c r="DU19" s="14">
        <v>54.5472928955586</v>
      </c>
      <c r="DV19" s="14"/>
      <c r="DW19" s="14"/>
      <c r="DX19" s="14"/>
      <c r="DY19" s="6"/>
      <c r="DZ19" s="14"/>
      <c r="EA19" s="1"/>
      <c r="EB19" s="1">
        <v>2.5479927932064763</v>
      </c>
      <c r="EC19" s="5">
        <f>BG19+BY19+CZ19+DE19</f>
        <v>719.974205941673</v>
      </c>
      <c r="ED19" s="5">
        <f>AB19+AE19+AH19+BP19+BU19+CF19</f>
        <v>45.01709982022847</v>
      </c>
      <c r="EE19" s="5">
        <f t="shared" si="26"/>
        <v>462.5640189553323</v>
      </c>
      <c r="EF19" s="5">
        <f t="shared" si="27"/>
        <v>1227.5553247172338</v>
      </c>
      <c r="EG19" s="5">
        <f>EF19+U19</f>
        <v>1229.8156074035053</v>
      </c>
      <c r="EH19" s="5">
        <f>EG19+V19</f>
        <v>1502.9447874983534</v>
      </c>
      <c r="EI19" s="1">
        <f t="shared" si="28"/>
        <v>0.7199742059416729</v>
      </c>
      <c r="EJ19" s="1">
        <f t="shared" si="29"/>
        <v>0.045017099820228466</v>
      </c>
      <c r="EK19" s="1">
        <f t="shared" si="30"/>
        <v>0.4625640189553323</v>
      </c>
      <c r="EL19" s="1">
        <f t="shared" si="31"/>
        <v>1.2275553247172337</v>
      </c>
      <c r="EM19" s="1">
        <f t="shared" si="32"/>
        <v>1.2298156074035054</v>
      </c>
      <c r="EN19" s="1">
        <f t="shared" si="33"/>
        <v>1.5029447874983535</v>
      </c>
      <c r="EO19" s="47">
        <v>1127.37593695241</v>
      </c>
      <c r="EP19" s="1">
        <f t="shared" si="34"/>
        <v>1.1273759369524101</v>
      </c>
      <c r="EQ19" s="1">
        <f>EP19+U19/1000+V19/1000</f>
        <v>1.4027653997335296</v>
      </c>
      <c r="ER19" s="1"/>
      <c r="ES19" s="1">
        <f>(AH19/95)+(AQ19/35.5)+(BG19/62)+(BX19/48)</f>
        <v>19.191062368935505</v>
      </c>
      <c r="ET19" s="1">
        <f>(AI19/95)+(AR19/35.5)+(BH19/62)+(BZ19/48)</f>
        <v>78.59560063956823</v>
      </c>
      <c r="EU19" s="1">
        <f>(CL19/23)+(CZ19/18)+(DD19/39)+(DK19/12.5)+(DQ19/20)</f>
        <v>13.795512322206203</v>
      </c>
      <c r="EV19" s="1">
        <f>(CM19/23)+(DA19/18)+(DF19/39)+(DM19/12.5)+(DS19/20)</f>
        <v>84.35577643455687</v>
      </c>
      <c r="EW19" s="1">
        <f t="shared" si="37"/>
        <v>0.7188508930353404</v>
      </c>
      <c r="EX19" s="1">
        <f t="shared" si="35"/>
        <v>1.0732887814090797</v>
      </c>
      <c r="EZ19" s="21">
        <f>(CZ19/18)/(BY19/48)</f>
        <v>0.20486210207091046</v>
      </c>
      <c r="FA19" s="21">
        <f>(DA19/18)/(CA19/48)</f>
        <v>0.25313632309908424</v>
      </c>
      <c r="FB19" s="62">
        <f>AH19/BY19</f>
        <v>0.0579318330895675</v>
      </c>
      <c r="FC19" s="62"/>
    </row>
    <row r="20" spans="1:159" ht="12.75">
      <c r="A20" s="7"/>
      <c r="B20" s="7"/>
      <c r="C20" s="7"/>
      <c r="F20" s="13"/>
      <c r="G20" s="13"/>
      <c r="H20" s="8">
        <v>36487.592361111114</v>
      </c>
      <c r="I20" s="8">
        <v>36488.586805555555</v>
      </c>
      <c r="J20" s="11">
        <v>-22.298333333333332</v>
      </c>
      <c r="K20">
        <v>7.45</v>
      </c>
      <c r="L20" s="11">
        <v>-26.216666666666665</v>
      </c>
      <c r="M20">
        <v>11</v>
      </c>
      <c r="N20" s="14">
        <v>-24.267910879616835</v>
      </c>
      <c r="O20" s="21">
        <v>9.237442129618044</v>
      </c>
      <c r="P20" s="21"/>
      <c r="Q20" s="21"/>
      <c r="R20" s="5">
        <v>0</v>
      </c>
      <c r="S20" s="5">
        <v>331.70398754428254</v>
      </c>
      <c r="T20" s="54">
        <v>1734.872725259208</v>
      </c>
      <c r="U20" s="44"/>
      <c r="V20" s="29"/>
      <c r="W20" s="29"/>
      <c r="X20" s="44"/>
      <c r="Y20" s="44"/>
      <c r="Z20" s="142"/>
      <c r="AA20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"/>
      <c r="AY20" s="1"/>
      <c r="AZ20" s="14"/>
      <c r="BA20" s="14"/>
      <c r="BB20" s="14"/>
      <c r="BC20" s="1"/>
      <c r="BD20" s="1"/>
      <c r="BE20" s="14"/>
      <c r="BF20" s="14"/>
      <c r="BG20" s="14"/>
      <c r="BH20" s="14"/>
      <c r="BK20" s="14"/>
      <c r="BL20" s="14"/>
      <c r="BM20" s="14"/>
      <c r="BN20" s="14"/>
      <c r="BO20" s="17"/>
      <c r="BP20" s="14"/>
      <c r="BQ20" s="14"/>
      <c r="BR20" s="14"/>
      <c r="BT20" s="6"/>
      <c r="BU20" s="14"/>
      <c r="BV20" s="14"/>
      <c r="BW20" s="14"/>
      <c r="BX20" s="14"/>
      <c r="BY20" s="14"/>
      <c r="BZ20" s="14"/>
      <c r="CA20" s="14"/>
      <c r="CB20" s="14"/>
      <c r="CF20" s="14"/>
      <c r="CG20" s="14"/>
      <c r="CH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X20" s="14"/>
      <c r="CY20" s="14"/>
      <c r="CZ20" s="14"/>
      <c r="DA20" s="14"/>
      <c r="DB20" s="14"/>
      <c r="DD20" s="14"/>
      <c r="DE20" s="48"/>
      <c r="DF20" s="14"/>
      <c r="DG20" s="48"/>
      <c r="DH20" s="14"/>
      <c r="DI20" s="14"/>
      <c r="DK20" s="14"/>
      <c r="DL20" s="48"/>
      <c r="DM20" s="14"/>
      <c r="DN20" s="48"/>
      <c r="DO20" s="14"/>
      <c r="DP20" s="14"/>
      <c r="DQ20" s="14"/>
      <c r="DR20" s="48"/>
      <c r="DS20" s="14"/>
      <c r="DT20" s="48"/>
      <c r="DU20" s="14"/>
      <c r="DV20" s="14"/>
      <c r="DW20" s="14"/>
      <c r="DX20" s="14"/>
      <c r="DZ20" s="14"/>
      <c r="EA20" s="1"/>
      <c r="EB20" s="1"/>
      <c r="EC20" s="5"/>
      <c r="ED20" s="5"/>
      <c r="EE20" s="5"/>
      <c r="EF20" s="5"/>
      <c r="EG20" s="5"/>
      <c r="EH20" s="5"/>
      <c r="EI20" s="1"/>
      <c r="EJ20" s="1"/>
      <c r="EK20" s="1"/>
      <c r="EL20" s="1"/>
      <c r="EM20" s="1"/>
      <c r="EN20" s="1"/>
      <c r="EO20" s="5"/>
      <c r="EP20" s="1"/>
      <c r="EQ20" s="1"/>
      <c r="ER20" s="1"/>
      <c r="ES20" s="1"/>
      <c r="ET20" s="1"/>
      <c r="EU20" s="1"/>
      <c r="EV20" s="1"/>
      <c r="EW20" s="1"/>
      <c r="EX20" s="1"/>
      <c r="EZ20" s="21"/>
      <c r="FA20" s="21"/>
      <c r="FB20" s="62"/>
      <c r="FC20" s="62"/>
    </row>
    <row r="21" spans="1:159" ht="12.75">
      <c r="A21" s="7">
        <v>275</v>
      </c>
      <c r="B21" s="7">
        <v>180</v>
      </c>
      <c r="C21" s="7">
        <v>390</v>
      </c>
      <c r="D21" s="60" t="s">
        <v>155</v>
      </c>
      <c r="E21" s="60">
        <v>3</v>
      </c>
      <c r="F21" s="13">
        <v>36488.59027777778</v>
      </c>
      <c r="G21" s="13">
        <v>36489.59722222222</v>
      </c>
      <c r="H21" s="8">
        <v>36488.59027777778</v>
      </c>
      <c r="I21" s="8">
        <v>36489.59722222222</v>
      </c>
      <c r="J21" s="11">
        <v>-26.233333333333334</v>
      </c>
      <c r="K21">
        <v>11.016666666666667</v>
      </c>
      <c r="L21" s="11">
        <v>-31.039166666666667</v>
      </c>
      <c r="M21">
        <v>15.546666666666667</v>
      </c>
      <c r="N21" s="14">
        <v>-29.95522132464092</v>
      </c>
      <c r="O21" s="21">
        <v>14.59166902872254</v>
      </c>
      <c r="P21" s="14">
        <v>-29.95522132464092</v>
      </c>
      <c r="Q21" s="21">
        <v>14.59166902872254</v>
      </c>
      <c r="R21" s="5">
        <v>3.6913055076547976</v>
      </c>
      <c r="S21" s="5">
        <v>126.66795800782918</v>
      </c>
      <c r="T21" s="54">
        <v>1075.4821611966454</v>
      </c>
      <c r="U21" s="47">
        <f>AVERAGE(R21:R22)</f>
        <v>3.6913055076547976</v>
      </c>
      <c r="V21" s="47">
        <f>AVERAGE(S21:S22)</f>
        <v>126.66795800782918</v>
      </c>
      <c r="W21" s="47">
        <f>AVERAGE(T21:T22)</f>
        <v>1075.4821611966454</v>
      </c>
      <c r="X21" s="1">
        <f>'HV'!BK23</f>
        <v>24.42204904183833</v>
      </c>
      <c r="Y21" s="1"/>
      <c r="Z21" s="151">
        <v>15.949999999897555</v>
      </c>
      <c r="AA21" s="148"/>
      <c r="AB21" s="14">
        <v>3.569993269979042</v>
      </c>
      <c r="AC21" s="14">
        <v>17.145570964022347</v>
      </c>
      <c r="AD21" s="14">
        <v>20.715564234001388</v>
      </c>
      <c r="AE21" s="14">
        <v>1.6333504804238186</v>
      </c>
      <c r="AF21" s="14">
        <v>17.912468986020073</v>
      </c>
      <c r="AG21" s="14">
        <v>19.545819466443895</v>
      </c>
      <c r="AH21" s="14">
        <v>34.75952856195784</v>
      </c>
      <c r="AI21" s="14">
        <v>35.103522787853464</v>
      </c>
      <c r="AJ21" s="14">
        <v>69.86305134981131</v>
      </c>
      <c r="AK21" s="14"/>
      <c r="AL21" s="6">
        <v>56.079315034278686</v>
      </c>
      <c r="AM21" s="6">
        <v>64.20002331744473</v>
      </c>
      <c r="AN21" s="14">
        <v>0</v>
      </c>
      <c r="AO21" s="14">
        <v>0</v>
      </c>
      <c r="AP21" s="14">
        <v>0</v>
      </c>
      <c r="AQ21" s="14">
        <v>161.2513620490106</v>
      </c>
      <c r="AR21" s="14">
        <v>2412.771162894745</v>
      </c>
      <c r="AS21" s="14">
        <v>2574.0225249437563</v>
      </c>
      <c r="AT21" s="14">
        <f>$AT$2*CL21</f>
        <v>281.64430395476523</v>
      </c>
      <c r="AU21" s="14">
        <f>$AT$2*CM21</f>
        <v>2763.503454328025</v>
      </c>
      <c r="AV21" s="14">
        <f t="shared" si="17"/>
        <v>42.746450119967946</v>
      </c>
      <c r="AW21" s="14">
        <f t="shared" si="18"/>
        <v>12.691581437467903</v>
      </c>
      <c r="AX21" s="1">
        <f>AQ21/CL21</f>
        <v>1.0295276344943318</v>
      </c>
      <c r="AY21" s="1">
        <f>AR21/CM21</f>
        <v>1.5699712912556678</v>
      </c>
      <c r="AZ21" s="14">
        <v>0</v>
      </c>
      <c r="BA21" s="14">
        <v>0</v>
      </c>
      <c r="BB21" s="14">
        <v>0</v>
      </c>
      <c r="BC21" s="1">
        <f t="shared" si="19"/>
        <v>0.9722000848590482</v>
      </c>
      <c r="BD21" s="1">
        <f t="shared" si="20"/>
        <v>9.539260177040486</v>
      </c>
      <c r="BE21" s="14">
        <f t="shared" si="21"/>
        <v>100</v>
      </c>
      <c r="BF21" s="14">
        <f t="shared" si="22"/>
        <v>100</v>
      </c>
      <c r="BG21" s="14">
        <v>15.942425195086722</v>
      </c>
      <c r="BH21" s="14">
        <v>97.19677303416661</v>
      </c>
      <c r="BI21" s="6">
        <v>78.03475757040717</v>
      </c>
      <c r="BJ21" s="6">
        <v>105.23746918500194</v>
      </c>
      <c r="BK21" s="14">
        <v>113.13919822925334</v>
      </c>
      <c r="BL21" s="14"/>
      <c r="BM21" s="14"/>
      <c r="BN21" s="14"/>
      <c r="BO21" s="17">
        <f t="shared" si="4"/>
        <v>4.632666081188778</v>
      </c>
      <c r="BP21" s="14">
        <v>0</v>
      </c>
      <c r="BQ21" s="14">
        <v>0</v>
      </c>
      <c r="BR21" s="14">
        <v>0</v>
      </c>
      <c r="BS21" s="14">
        <v>0</v>
      </c>
      <c r="BT21" s="6"/>
      <c r="BU21" s="14">
        <v>0</v>
      </c>
      <c r="BV21" s="14">
        <v>0</v>
      </c>
      <c r="BW21" s="14">
        <v>0</v>
      </c>
      <c r="BX21" s="14">
        <v>267.18692411258337</v>
      </c>
      <c r="BY21" s="14">
        <f>BX21-BY$3*$CL21</f>
        <v>227.7255379922982</v>
      </c>
      <c r="BZ21" s="14">
        <v>340.20485187595733</v>
      </c>
      <c r="CA21" s="14">
        <f>BZ21-CA$3*$CM21</f>
        <v>-46.991605942322565</v>
      </c>
      <c r="CB21" s="14">
        <v>607.3917759885408</v>
      </c>
      <c r="CC21" s="102">
        <v>227.7255379922982</v>
      </c>
      <c r="CD21" s="102">
        <v>227.7255379922982</v>
      </c>
      <c r="CE21" s="6">
        <v>272.31158441663393</v>
      </c>
      <c r="CF21" s="14">
        <v>1.5360017106681727</v>
      </c>
      <c r="CG21" s="14">
        <v>0.9479043752411979</v>
      </c>
      <c r="CH21" s="14">
        <v>2.483906085909371</v>
      </c>
      <c r="CI21" s="6">
        <v>2.483906085909371</v>
      </c>
      <c r="CJ21" s="6">
        <v>2.483906085909371</v>
      </c>
      <c r="CK21" s="14"/>
      <c r="CL21" s="14">
        <v>156.62655051334454</v>
      </c>
      <c r="CM21" s="14">
        <v>1536.825021153733</v>
      </c>
      <c r="CN21" s="14">
        <v>1693.4515716670774</v>
      </c>
      <c r="CO21" s="14"/>
      <c r="CP21" s="14"/>
      <c r="CQ21" s="14"/>
      <c r="CR21" s="14"/>
      <c r="CS21" s="14">
        <f>1.47*CL21+AQ21</f>
        <v>391.4923913036271</v>
      </c>
      <c r="CT21" s="14">
        <f>1.47*CM21+AR21</f>
        <v>4671.903943990732</v>
      </c>
      <c r="CU21" s="14">
        <f>1.45*CN21+AS21</f>
        <v>5029.5273038610185</v>
      </c>
      <c r="CV21" s="6">
        <v>2216.966901632446</v>
      </c>
      <c r="CW21" s="6">
        <v>3980.2060030867237</v>
      </c>
      <c r="CX21" s="14"/>
      <c r="CY21" s="14">
        <f t="shared" si="23"/>
        <v>5.029527303861019</v>
      </c>
      <c r="CZ21" s="14">
        <v>23.006167188649332</v>
      </c>
      <c r="DA21" s="14">
        <v>2.4243632213447253</v>
      </c>
      <c r="DB21" s="14">
        <v>25.43053040999406</v>
      </c>
      <c r="DC21" s="6">
        <v>24.03968232612306</v>
      </c>
      <c r="DD21" s="14">
        <v>2.550991946724848</v>
      </c>
      <c r="DE21" s="48">
        <f>DD21-DE$3*$CL21</f>
        <v>-3.3455370137775344</v>
      </c>
      <c r="DF21" s="14">
        <v>34.96121713533427</v>
      </c>
      <c r="DG21" s="48">
        <f>DF21-DG$3*$CM21</f>
        <v>-22.895724837512134</v>
      </c>
      <c r="DH21" s="14">
        <v>37.512209082059115</v>
      </c>
      <c r="DI21" s="14"/>
      <c r="DJ21" s="40"/>
      <c r="DK21" s="14">
        <v>12.97179349741874</v>
      </c>
      <c r="DL21" s="48">
        <f>DK21-DL$3*$CL21</f>
        <v>-5.823392564182605</v>
      </c>
      <c r="DM21" s="14">
        <v>167.43664822333247</v>
      </c>
      <c r="DN21" s="48">
        <f>DM21-DN$3*$CM21</f>
        <v>-16.982354315115487</v>
      </c>
      <c r="DO21" s="14">
        <v>180.40844172075123</v>
      </c>
      <c r="DP21" s="14"/>
      <c r="DQ21" s="14">
        <v>7.062427466111191</v>
      </c>
      <c r="DR21" s="48">
        <f>DQ21-DR$3*$CL21</f>
        <v>1.0808524148323313</v>
      </c>
      <c r="DS21" s="14">
        <v>40.824785863506726</v>
      </c>
      <c r="DT21" s="48">
        <f>DS21-DT$3*$CM21</f>
        <v>-17.86663123394805</v>
      </c>
      <c r="DU21" s="14">
        <v>47.887213329617914</v>
      </c>
      <c r="DV21" s="14">
        <f>IF(DR21&gt;0,DR21,0)+IF(DT21&gt;0,DT21,0)</f>
        <v>1.0808524148323313</v>
      </c>
      <c r="DW21" s="14"/>
      <c r="DX21" s="14"/>
      <c r="DY21" s="6"/>
      <c r="DZ21" s="14">
        <f>DT21/DN21</f>
        <v>1.0520703373881142</v>
      </c>
      <c r="EA21" s="1">
        <f>DT21/CM21</f>
        <v>-0.011625676956076055</v>
      </c>
      <c r="EB21" s="1">
        <v>0.7530362656600087</v>
      </c>
      <c r="EC21" s="5">
        <f>BG21+BY21+CZ21+DE21</f>
        <v>263.32859336225675</v>
      </c>
      <c r="ED21" s="5">
        <f>AB21+AE21+AH21+BP21+BU21+CF21</f>
        <v>41.498874023028876</v>
      </c>
      <c r="EE21" s="5">
        <f t="shared" si="26"/>
        <v>391.4923913036271</v>
      </c>
      <c r="EF21" s="5">
        <f t="shared" si="27"/>
        <v>696.3198586889127</v>
      </c>
      <c r="EG21" s="5">
        <f>EF21+U21</f>
        <v>700.0111641965675</v>
      </c>
      <c r="EH21" s="5">
        <f>EG21+V21</f>
        <v>826.6791222043967</v>
      </c>
      <c r="EI21" s="1">
        <f t="shared" si="28"/>
        <v>0.2633285933622568</v>
      </c>
      <c r="EJ21" s="1">
        <f t="shared" si="29"/>
        <v>0.041498874023028876</v>
      </c>
      <c r="EK21" s="1">
        <f t="shared" si="30"/>
        <v>0.39149239130362706</v>
      </c>
      <c r="EL21" s="1">
        <f t="shared" si="31"/>
        <v>0.6963198586889128</v>
      </c>
      <c r="EM21" s="1">
        <f t="shared" si="32"/>
        <v>0.7000111641965675</v>
      </c>
      <c r="EN21" s="1">
        <f t="shared" si="33"/>
        <v>0.8266791222043967</v>
      </c>
      <c r="EO21" s="47">
        <v>673.5817889163328</v>
      </c>
      <c r="EP21" s="1">
        <f t="shared" si="34"/>
        <v>0.6735817889163328</v>
      </c>
      <c r="EQ21" s="1">
        <f>EP21+U21/1000+V21/1000</f>
        <v>0.8039410524318168</v>
      </c>
      <c r="ER21" s="1"/>
      <c r="ES21" s="1">
        <f>(AH21/95)+(AQ21/35.5)+(BG21/62)+(BX21/48)</f>
        <v>10.731711805629743</v>
      </c>
      <c r="ET21" s="1">
        <f>(AI21/95)+(AR21/35.5)+(BH21/62)+(BZ21/48)</f>
        <v>76.99018660485939</v>
      </c>
      <c r="EU21" s="1">
        <f>(CL21/23)+(CZ21/18)+(DD21/39)+(DK21/12.5)+(DQ21/20)</f>
        <v>9.544245324703814</v>
      </c>
      <c r="EV21" s="1">
        <f>(CM21/23)+(DA21/18)+(DF21/39)+(DM21/12.5)+(DS21/20)</f>
        <v>83.28577864227783</v>
      </c>
      <c r="EW21" s="1">
        <f t="shared" si="37"/>
        <v>0.8893497605570253</v>
      </c>
      <c r="EX21" s="1">
        <f t="shared" si="35"/>
        <v>1.0817713570396916</v>
      </c>
      <c r="EZ21" s="21">
        <f>(CZ21/18)/(BY21/48)</f>
        <v>0.26940228008949274</v>
      </c>
      <c r="FA21" s="21">
        <f>(DA21/18)/(CA21/48)</f>
        <v>-0.13757709404925839</v>
      </c>
      <c r="FB21" s="62">
        <f>AH21/BY21</f>
        <v>0.1526378151014992</v>
      </c>
      <c r="FC21" s="62"/>
    </row>
    <row r="22" spans="1:159" ht="12.75">
      <c r="A22" s="7"/>
      <c r="B22" s="7"/>
      <c r="C22" s="7"/>
      <c r="F22" s="12"/>
      <c r="G22" s="12"/>
      <c r="H22" s="9"/>
      <c r="I22" s="9"/>
      <c r="J22" s="11"/>
      <c r="L22" s="11"/>
      <c r="N22" s="14"/>
      <c r="R22" s="5"/>
      <c r="S22" s="5"/>
      <c r="T22" s="5"/>
      <c r="U22" s="44"/>
      <c r="V22" s="44"/>
      <c r="W22" s="44"/>
      <c r="X22" s="44"/>
      <c r="Y22" s="44"/>
      <c r="Z22" s="142"/>
      <c r="AA22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"/>
      <c r="AY22" s="1"/>
      <c r="AZ22" s="14"/>
      <c r="BA22" s="14"/>
      <c r="BB22" s="14"/>
      <c r="BC22" s="1"/>
      <c r="BD22" s="1"/>
      <c r="BE22" s="14"/>
      <c r="BF22" s="14"/>
      <c r="BG22" s="14"/>
      <c r="BH22" s="14"/>
      <c r="BK22" s="14"/>
      <c r="BL22" s="14"/>
      <c r="BM22" s="14"/>
      <c r="BN22" s="14"/>
      <c r="BO22" s="17"/>
      <c r="BP22" s="14"/>
      <c r="BQ22" s="14"/>
      <c r="BR22" s="14"/>
      <c r="BS22" s="14"/>
      <c r="BT22" s="6"/>
      <c r="BU22" s="14"/>
      <c r="BV22" s="14"/>
      <c r="BW22" s="14"/>
      <c r="BX22" s="14"/>
      <c r="BY22" s="14"/>
      <c r="BZ22" s="14"/>
      <c r="CA22" s="14"/>
      <c r="CB22" s="14"/>
      <c r="CF22" s="14"/>
      <c r="CG22" s="14"/>
      <c r="CH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X22" s="14"/>
      <c r="CY22" s="14"/>
      <c r="CZ22" s="14"/>
      <c r="DA22" s="14"/>
      <c r="DB22" s="14"/>
      <c r="DD22" s="14"/>
      <c r="DE22" s="48"/>
      <c r="DF22" s="14"/>
      <c r="DG22" s="48"/>
      <c r="DH22" s="14"/>
      <c r="DI22" s="14"/>
      <c r="DK22" s="14"/>
      <c r="DL22" s="48"/>
      <c r="DM22" s="14"/>
      <c r="DN22" s="48"/>
      <c r="DO22" s="14"/>
      <c r="DP22" s="14"/>
      <c r="DQ22" s="14"/>
      <c r="DR22" s="48"/>
      <c r="DS22" s="14"/>
      <c r="DT22" s="48"/>
      <c r="DU22" s="14"/>
      <c r="DV22" s="14"/>
      <c r="DW22" s="14"/>
      <c r="DX22" s="14"/>
      <c r="DZ22" s="14"/>
      <c r="EA22" s="1"/>
      <c r="EB22" s="1"/>
      <c r="EC22" s="5"/>
      <c r="ED22" s="5"/>
      <c r="EE22" s="5"/>
      <c r="EF22" s="5"/>
      <c r="EG22" s="5"/>
      <c r="EH22" s="5"/>
      <c r="EI22" s="1"/>
      <c r="EJ22" s="1"/>
      <c r="EK22" s="1"/>
      <c r="EL22" s="1"/>
      <c r="EM22" s="1"/>
      <c r="EN22" s="1"/>
      <c r="EO22" s="5"/>
      <c r="EP22" s="1"/>
      <c r="EQ22" s="1"/>
      <c r="ER22" s="1"/>
      <c r="ES22" s="1"/>
      <c r="ET22" s="1"/>
      <c r="EU22" s="1"/>
      <c r="EV22" s="1"/>
      <c r="EW22" s="1"/>
      <c r="EX22" s="1"/>
      <c r="EZ22" s="21"/>
      <c r="FA22" s="21"/>
      <c r="FB22" s="62"/>
      <c r="FC22" s="62"/>
    </row>
    <row r="23" spans="1:159" ht="12.75">
      <c r="A23" s="27">
        <v>1176</v>
      </c>
      <c r="B23" s="27">
        <v>640</v>
      </c>
      <c r="C23" s="27">
        <v>1860</v>
      </c>
      <c r="D23" s="60" t="s">
        <v>156</v>
      </c>
      <c r="E23" s="60">
        <v>4</v>
      </c>
      <c r="F23" s="13">
        <v>36496.49375</v>
      </c>
      <c r="G23" s="13">
        <v>36498.524305555555</v>
      </c>
      <c r="H23" s="8">
        <v>36496.49513888889</v>
      </c>
      <c r="I23" s="8">
        <v>36497.49652777778</v>
      </c>
      <c r="J23" s="11">
        <v>-38.56333333333333</v>
      </c>
      <c r="K23">
        <v>13.865</v>
      </c>
      <c r="L23" s="11">
        <v>-44.43333333333333</v>
      </c>
      <c r="M23">
        <v>12.233333333333333</v>
      </c>
      <c r="N23" s="14">
        <v>-41.503678160921886</v>
      </c>
      <c r="O23" s="21">
        <v>13.052643678160258</v>
      </c>
      <c r="P23" s="22">
        <f>AVERAGE(J23,L24)</f>
        <v>-44.34</v>
      </c>
      <c r="Q23" s="22">
        <f>AVERAGE(K23,M24)</f>
        <v>12.415833333333333</v>
      </c>
      <c r="R23" s="5">
        <v>2.177421498901873</v>
      </c>
      <c r="S23" s="5">
        <v>167.5322016275068</v>
      </c>
      <c r="T23" s="54">
        <v>1051.8609222651341</v>
      </c>
      <c r="U23" s="47">
        <f>AVERAGE(R23:R24)</f>
        <v>6.538243431616211</v>
      </c>
      <c r="V23" s="47">
        <f>AVERAGE(S23:S24)</f>
        <v>200.67863390197238</v>
      </c>
      <c r="W23" s="47">
        <f>AVERAGE(T23:T24)</f>
        <v>939.6145423343605</v>
      </c>
      <c r="X23" s="6">
        <f>AVERAGE('HV'!BK26:BK27)</f>
        <v>15.595380391327584</v>
      </c>
      <c r="Y23" s="6"/>
      <c r="Z23" s="151">
        <v>32.16399999996415</v>
      </c>
      <c r="AA23" s="148"/>
      <c r="AB23" s="14">
        <v>5.583347385642338</v>
      </c>
      <c r="AC23" s="14">
        <v>9.062114796347624</v>
      </c>
      <c r="AD23" s="14">
        <v>14.645462181989961</v>
      </c>
      <c r="AE23" s="14">
        <v>0.47108382547598154</v>
      </c>
      <c r="AF23" s="14">
        <v>5.381579368168932</v>
      </c>
      <c r="AG23" s="14">
        <v>5.852663193644913</v>
      </c>
      <c r="AH23" s="14">
        <v>25.663841023968416</v>
      </c>
      <c r="AI23" s="14">
        <v>16.589137763594746</v>
      </c>
      <c r="AJ23" s="14">
        <v>42.25297878756316</v>
      </c>
      <c r="AK23" s="14"/>
      <c r="AL23" s="6">
        <v>39.738139145216955</v>
      </c>
      <c r="AM23" s="6">
        <v>39.989205465191944</v>
      </c>
      <c r="AN23" s="14">
        <v>0</v>
      </c>
      <c r="AO23" s="14">
        <v>0</v>
      </c>
      <c r="AP23" s="14">
        <v>0</v>
      </c>
      <c r="AQ23" s="14">
        <v>441.8274877894118</v>
      </c>
      <c r="AR23" s="14">
        <v>2442.0639974622736</v>
      </c>
      <c r="AS23" s="14">
        <v>2883.891485251685</v>
      </c>
      <c r="AT23" s="14">
        <f>$AT$2*CL23</f>
        <v>490.3238043386814</v>
      </c>
      <c r="AU23" s="14">
        <f>$AT$2*CM23</f>
        <v>2336.8853416273505</v>
      </c>
      <c r="AV23" s="14">
        <f t="shared" si="17"/>
        <v>9.890671454280795</v>
      </c>
      <c r="AW23" s="14">
        <f t="shared" si="18"/>
        <v>-4.500805151256555</v>
      </c>
      <c r="AX23" s="1">
        <f>AQ23/CL23</f>
        <v>1.6203369757497201</v>
      </c>
      <c r="AY23" s="1">
        <f>AR23/CM23</f>
        <v>1.8791230754348123</v>
      </c>
      <c r="AZ23" s="14">
        <v>0.336283061964061</v>
      </c>
      <c r="BA23" s="14">
        <v>2.4323823008670318</v>
      </c>
      <c r="BB23" s="14">
        <v>2.7686653628310927</v>
      </c>
      <c r="BC23" s="1">
        <f t="shared" si="19"/>
        <v>1.6925350077842822</v>
      </c>
      <c r="BD23" s="1">
        <f t="shared" si="20"/>
        <v>8.066629062027358</v>
      </c>
      <c r="BE23" s="14">
        <f t="shared" si="21"/>
        <v>80.13139696269602</v>
      </c>
      <c r="BF23" s="14">
        <f t="shared" si="22"/>
        <v>69.84635983428116</v>
      </c>
      <c r="BG23" s="14">
        <v>5.240461445566096</v>
      </c>
      <c r="BH23" s="14">
        <v>18.177804777255684</v>
      </c>
      <c r="BI23" s="6">
        <v>22.460673883559423</v>
      </c>
      <c r="BJ23" s="6">
        <v>23.119795883311433</v>
      </c>
      <c r="BK23" s="14">
        <v>23.41826622282178</v>
      </c>
      <c r="BL23" s="14"/>
      <c r="BM23" s="14"/>
      <c r="BN23" s="14"/>
      <c r="BO23" s="17">
        <f t="shared" si="4"/>
        <v>1.501615583281599</v>
      </c>
      <c r="BP23" s="14">
        <v>0</v>
      </c>
      <c r="BQ23" s="14">
        <v>0</v>
      </c>
      <c r="BR23" s="14">
        <v>0</v>
      </c>
      <c r="BS23" s="14">
        <v>0</v>
      </c>
      <c r="BT23" s="6"/>
      <c r="BU23" s="14">
        <v>0</v>
      </c>
      <c r="BV23" s="14">
        <v>0</v>
      </c>
      <c r="BW23" s="14">
        <v>0</v>
      </c>
      <c r="BX23" s="14">
        <v>223.80796322828905</v>
      </c>
      <c r="BY23" s="14">
        <f>BX23-BY$3*$CL23</f>
        <v>155.10834212718743</v>
      </c>
      <c r="BZ23" s="14">
        <v>328.79972767048423</v>
      </c>
      <c r="CA23" s="14">
        <f>BZ23-CA$3*$CM23</f>
        <v>1.3770406503259665</v>
      </c>
      <c r="CB23" s="14">
        <v>552.6076908987733</v>
      </c>
      <c r="CC23" s="102">
        <v>156.4853827775134</v>
      </c>
      <c r="CD23" s="102">
        <v>156.4853827775134</v>
      </c>
      <c r="CE23" s="6">
        <v>233.98917012682108</v>
      </c>
      <c r="CF23" s="14">
        <v>0.9214703696689789</v>
      </c>
      <c r="CG23" s="14">
        <v>1.380091343118066</v>
      </c>
      <c r="CH23" s="14">
        <v>2.301561712787045</v>
      </c>
      <c r="CI23" s="6">
        <v>2.301561712787045</v>
      </c>
      <c r="CJ23" s="6">
        <v>2.301561712787045</v>
      </c>
      <c r="CK23" s="14"/>
      <c r="CL23" s="14">
        <v>272.6762978330362</v>
      </c>
      <c r="CM23" s="14">
        <v>1299.576397835039</v>
      </c>
      <c r="CN23" s="14">
        <v>1572.2526956680751</v>
      </c>
      <c r="CO23" s="14"/>
      <c r="CP23" s="14"/>
      <c r="CQ23" s="14"/>
      <c r="CR23" s="14"/>
      <c r="CS23" s="14">
        <f>1.47*CL23+AQ23</f>
        <v>842.661645603975</v>
      </c>
      <c r="CT23" s="14">
        <f>1.47*CM23+AR23</f>
        <v>4352.441302279781</v>
      </c>
      <c r="CU23" s="14">
        <f>1.45*CN23+AS23</f>
        <v>5163.657893970394</v>
      </c>
      <c r="CV23" s="6">
        <v>4711.278396210683</v>
      </c>
      <c r="CW23" s="6">
        <v>5036.290162847701</v>
      </c>
      <c r="CX23" s="14"/>
      <c r="CY23" s="14">
        <f t="shared" si="23"/>
        <v>5.163657893970394</v>
      </c>
      <c r="CZ23" s="14">
        <v>19.53156889592402</v>
      </c>
      <c r="DA23" s="14">
        <v>14.586304667818773</v>
      </c>
      <c r="DB23" s="14">
        <v>34.11787356374279</v>
      </c>
      <c r="DC23" s="6">
        <v>29.96923399224209</v>
      </c>
      <c r="DD23" s="14">
        <v>5.886541497021859</v>
      </c>
      <c r="DE23" s="48">
        <f>DD23-DE$3*$CL23</f>
        <v>-4.378919127280679</v>
      </c>
      <c r="DF23" s="14">
        <v>39.03538483339757</v>
      </c>
      <c r="DG23" s="48">
        <f>DF23-DG$3*$CM23</f>
        <v>-9.889844261568598</v>
      </c>
      <c r="DH23" s="14">
        <v>44.92192633041943</v>
      </c>
      <c r="DI23" s="14"/>
      <c r="DJ23" s="40"/>
      <c r="DK23" s="14">
        <v>29.692316420643095</v>
      </c>
      <c r="DL23" s="48">
        <f>DK23-DL$3*$CL23</f>
        <v>-3.028839319321243</v>
      </c>
      <c r="DM23" s="14">
        <v>149.94140256094937</v>
      </c>
      <c r="DN23" s="48">
        <f>DM23-DN$3*$CM23</f>
        <v>-6.007765179255301</v>
      </c>
      <c r="DO23" s="14">
        <v>179.63371898159244</v>
      </c>
      <c r="DP23" s="14"/>
      <c r="DQ23" s="14">
        <v>5.04991668859769</v>
      </c>
      <c r="DR23" s="48">
        <f>DQ23-DR$3*$CL23</f>
        <v>-5.363603463939982</v>
      </c>
      <c r="DS23" s="14">
        <v>35.355340536314436</v>
      </c>
      <c r="DT23" s="48">
        <f>DS23-DT$3*$CM23</f>
        <v>-14.275540901367592</v>
      </c>
      <c r="DU23" s="14">
        <v>40.40525722491212</v>
      </c>
      <c r="DV23" s="14"/>
      <c r="DW23" s="14"/>
      <c r="DX23" s="14"/>
      <c r="DY23" s="6"/>
      <c r="DZ23" s="14"/>
      <c r="EA23" s="1"/>
      <c r="EB23" s="1">
        <v>4.4071732711465605</v>
      </c>
      <c r="EC23" s="5">
        <f>BG23+BY23+CZ23+DE23</f>
        <v>175.50145334139685</v>
      </c>
      <c r="ED23" s="5">
        <f>AB23+AE23+AH23+BP23+BU23+CF23</f>
        <v>32.63974260475572</v>
      </c>
      <c r="EE23" s="5">
        <f t="shared" si="26"/>
        <v>842.661645603975</v>
      </c>
      <c r="EF23" s="5">
        <f t="shared" si="27"/>
        <v>1050.8028415501276</v>
      </c>
      <c r="EG23" s="5">
        <f>EF23+U23</f>
        <v>1057.3410849817437</v>
      </c>
      <c r="EH23" s="5">
        <f>EG23+V23</f>
        <v>1258.019718883716</v>
      </c>
      <c r="EI23" s="1">
        <f t="shared" si="28"/>
        <v>0.17550145334139686</v>
      </c>
      <c r="EJ23" s="1">
        <f t="shared" si="29"/>
        <v>0.03263974260475572</v>
      </c>
      <c r="EK23" s="1">
        <f t="shared" si="30"/>
        <v>0.8426616456039749</v>
      </c>
      <c r="EL23" s="1">
        <f t="shared" si="31"/>
        <v>1.0508028415501276</v>
      </c>
      <c r="EM23" s="1">
        <f t="shared" si="32"/>
        <v>1.0573410849817437</v>
      </c>
      <c r="EN23" s="1">
        <f t="shared" si="33"/>
        <v>1.2580197188837159</v>
      </c>
      <c r="EO23" s="47">
        <v>1027.2132144836828</v>
      </c>
      <c r="EP23" s="1">
        <f t="shared" si="34"/>
        <v>1.0272132144836827</v>
      </c>
      <c r="EQ23" s="1">
        <f>EP23+U23/1000+V23/1000</f>
        <v>1.2344300918172713</v>
      </c>
      <c r="ER23" s="1"/>
      <c r="ES23" s="1">
        <f>(AH23/95)+(AQ23/35.5)+(BG23/62)+(BX23/48)</f>
        <v>17.46317989374348</v>
      </c>
      <c r="ET23" s="1">
        <f>(AI23/95)+(AR23/35.5)+(BH23/62)+(BZ23/48)</f>
        <v>76.10834236865861</v>
      </c>
      <c r="EU23" s="1">
        <f>(CL23/23)+(CZ23/18)+(DD23/39)+(DK23/12.5)+(DQ23/20)</f>
        <v>15.719396480560109</v>
      </c>
      <c r="EV23" s="1">
        <f>(CM23/23)+(DA23/18)+(DF23/39)+(DM23/12.5)+(DS23/20)</f>
        <v>72.07765843943707</v>
      </c>
      <c r="EW23" s="1">
        <f>EU23/ES23</f>
        <v>0.900145138297057</v>
      </c>
      <c r="EX23" s="1">
        <f t="shared" si="35"/>
        <v>0.9470401824060568</v>
      </c>
      <c r="EZ23" s="21">
        <f>(CZ23/18)/(BY23/48)</f>
        <v>0.33579227917835336</v>
      </c>
      <c r="FA23" s="21">
        <f>(DA23/18)/(CA23/48)</f>
        <v>28.246669724898293</v>
      </c>
      <c r="FB23" s="62">
        <f>AH23/BY23</f>
        <v>0.16545751615941004</v>
      </c>
      <c r="FC23" s="62"/>
    </row>
    <row r="24" spans="1:159" ht="12.75">
      <c r="A24" s="73"/>
      <c r="B24" s="7"/>
      <c r="C24" s="7"/>
      <c r="F24" s="13"/>
      <c r="G24" s="13"/>
      <c r="H24" s="8">
        <v>36497.5</v>
      </c>
      <c r="I24" s="8">
        <v>36498.524305555555</v>
      </c>
      <c r="J24" s="11">
        <v>-44.43333333333333</v>
      </c>
      <c r="K24">
        <v>12.233333333333333</v>
      </c>
      <c r="L24" s="11">
        <v>-50.11666666666667</v>
      </c>
      <c r="M24">
        <v>10.966666666666667</v>
      </c>
      <c r="N24" s="14">
        <v>-47.12833333332952</v>
      </c>
      <c r="O24" s="21">
        <v>11.632688172043858</v>
      </c>
      <c r="P24" s="21"/>
      <c r="Q24" s="21"/>
      <c r="R24" s="5">
        <v>10.899065364330548</v>
      </c>
      <c r="S24" s="5">
        <v>233.82506617643796</v>
      </c>
      <c r="T24" s="54">
        <v>827.3681624035869</v>
      </c>
      <c r="U24" s="23"/>
      <c r="V24" s="23"/>
      <c r="W24" s="23"/>
      <c r="X24" s="44"/>
      <c r="Y24" s="44"/>
      <c r="Z24" s="152"/>
      <c r="AA24" s="15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"/>
      <c r="AY24" s="1"/>
      <c r="AZ24" s="14"/>
      <c r="BA24" s="14"/>
      <c r="BB24" s="14"/>
      <c r="BC24" s="1"/>
      <c r="BD24" s="1"/>
      <c r="BE24" s="14"/>
      <c r="BF24" s="14"/>
      <c r="BG24" s="14"/>
      <c r="BH24" s="14"/>
      <c r="BJ24" s="15"/>
      <c r="BK24" s="14"/>
      <c r="BL24" s="14"/>
      <c r="BM24" s="14"/>
      <c r="BN24" s="14"/>
      <c r="BO24" s="17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F24" s="14"/>
      <c r="CG24" s="14"/>
      <c r="CH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X24" s="14"/>
      <c r="CY24" s="14"/>
      <c r="CZ24" s="14"/>
      <c r="DA24" s="14"/>
      <c r="DB24" s="14"/>
      <c r="DD24" s="14"/>
      <c r="DE24" s="48"/>
      <c r="DF24" s="14"/>
      <c r="DG24" s="48"/>
      <c r="DH24" s="14"/>
      <c r="DI24" s="14"/>
      <c r="DK24" s="14"/>
      <c r="DL24" s="48"/>
      <c r="DM24" s="14"/>
      <c r="DN24" s="48"/>
      <c r="DO24" s="14"/>
      <c r="DP24" s="14"/>
      <c r="DQ24" s="14"/>
      <c r="DR24" s="48"/>
      <c r="DS24" s="14"/>
      <c r="DT24" s="48"/>
      <c r="DU24" s="14"/>
      <c r="DV24" s="14"/>
      <c r="DW24" s="14"/>
      <c r="DX24" s="14"/>
      <c r="DZ24" s="14"/>
      <c r="EA24" s="1"/>
      <c r="EB24" s="1"/>
      <c r="EC24" s="5"/>
      <c r="ED24" s="5"/>
      <c r="EE24" s="5"/>
      <c r="EF24" s="5"/>
      <c r="EG24" s="5"/>
      <c r="EH24" s="5"/>
      <c r="EI24" s="1"/>
      <c r="EJ24" s="1"/>
      <c r="EK24" s="1"/>
      <c r="EL24" s="1"/>
      <c r="EM24" s="1"/>
      <c r="EN24" s="1"/>
      <c r="EO24" s="5"/>
      <c r="EP24" s="1"/>
      <c r="EQ24" s="1"/>
      <c r="ER24" s="1"/>
      <c r="ES24" s="1"/>
      <c r="ET24" s="1"/>
      <c r="EU24" s="1"/>
      <c r="EV24" s="1"/>
      <c r="EW24" s="1"/>
      <c r="EX24" s="1"/>
      <c r="EZ24" s="21"/>
      <c r="FA24" s="21"/>
      <c r="FB24" s="62"/>
      <c r="FC24" s="62"/>
    </row>
    <row r="25" spans="1:159" s="15" customFormat="1" ht="12.75">
      <c r="A25" s="7"/>
      <c r="B25" s="7"/>
      <c r="C25" s="7"/>
      <c r="D25" s="60" t="s">
        <v>157</v>
      </c>
      <c r="E25" s="60">
        <v>4</v>
      </c>
      <c r="F25" s="13">
        <v>36498.5</v>
      </c>
      <c r="G25" s="13">
        <v>36500.50902777778</v>
      </c>
      <c r="H25" s="8">
        <v>36498.57638888889</v>
      </c>
      <c r="I25" s="8">
        <v>36499.506944444445</v>
      </c>
      <c r="J25" s="11">
        <v>-50.11666666666667</v>
      </c>
      <c r="K25">
        <v>10.966666666666667</v>
      </c>
      <c r="L25" s="11">
        <v>-52.86666666666667</v>
      </c>
      <c r="M25">
        <v>7.016666666666667</v>
      </c>
      <c r="N25" s="14">
        <v>-51.48333333332975</v>
      </c>
      <c r="O25" s="21">
        <v>9.00000000000513</v>
      </c>
      <c r="P25" s="22">
        <f>AVERAGE(J25,L26)</f>
        <v>-53.81666666666666</v>
      </c>
      <c r="Q25" s="22">
        <f>AVERAGE(K25,M26)</f>
        <v>7.666666666666666</v>
      </c>
      <c r="R25" s="5">
        <v>0</v>
      </c>
      <c r="S25" s="5">
        <v>45.1857716962188</v>
      </c>
      <c r="T25" s="54">
        <v>361.37752276648666</v>
      </c>
      <c r="U25" s="47">
        <f>AVERAGE(R25:R26)</f>
        <v>0</v>
      </c>
      <c r="V25" s="47">
        <f>AVERAGE(S25:S26)</f>
        <v>209.9938881902147</v>
      </c>
      <c r="W25" s="47">
        <f>AVERAGE(T25:T26)</f>
        <v>807.8058004054476</v>
      </c>
      <c r="X25" s="6">
        <f>AVERAGE('HV'!BK28:BK29)</f>
        <v>9.160298842404924</v>
      </c>
      <c r="Y25" s="6"/>
      <c r="Z25" s="151">
        <v>31.823000000005123</v>
      </c>
      <c r="AA25" s="148"/>
      <c r="AB25" s="14">
        <v>8.618867569731195</v>
      </c>
      <c r="AC25" s="14">
        <v>11.989548216790952</v>
      </c>
      <c r="AD25" s="14">
        <v>20.60841578652214</v>
      </c>
      <c r="AE25" s="14">
        <v>1.8115588758942682</v>
      </c>
      <c r="AF25" s="14">
        <v>18.662763179149973</v>
      </c>
      <c r="AG25" s="14">
        <v>20.47432205504424</v>
      </c>
      <c r="AH25" s="14">
        <v>28.210967676623472</v>
      </c>
      <c r="AI25" s="14">
        <v>10.581365934333</v>
      </c>
      <c r="AJ25" s="14">
        <v>38.79233361095647</v>
      </c>
      <c r="AK25" s="14"/>
      <c r="AL25" s="6">
        <v>35.37247332446612</v>
      </c>
      <c r="AM25" s="6">
        <v>36.28770121359229</v>
      </c>
      <c r="AN25" s="14">
        <v>0</v>
      </c>
      <c r="AO25" s="14">
        <v>0</v>
      </c>
      <c r="AP25" s="14">
        <v>0</v>
      </c>
      <c r="AQ25" s="14">
        <v>762.9074676169027</v>
      </c>
      <c r="AR25" s="14">
        <v>2745.1432802184313</v>
      </c>
      <c r="AS25" s="14">
        <v>3508.0507478353334</v>
      </c>
      <c r="AT25" s="14">
        <f>$AT$2*CL25</f>
        <v>802.0021236455053</v>
      </c>
      <c r="AU25" s="14">
        <f>$AT$2*CM25</f>
        <v>2770.194680120423</v>
      </c>
      <c r="AV25" s="14">
        <f t="shared" si="17"/>
        <v>4.87463248238017</v>
      </c>
      <c r="AW25" s="14">
        <f t="shared" si="18"/>
        <v>0.9043191109190478</v>
      </c>
      <c r="AX25" s="1">
        <f>AQ25/CL25</f>
        <v>1.7105348892082408</v>
      </c>
      <c r="AY25" s="1">
        <f>AR25/CM25</f>
        <v>1.7819286690190392</v>
      </c>
      <c r="AZ25" s="14">
        <v>0</v>
      </c>
      <c r="BA25" s="14">
        <v>1.1165163942744016</v>
      </c>
      <c r="BB25" s="14">
        <v>1.1165163942744016</v>
      </c>
      <c r="BC25" s="1">
        <f t="shared" si="19"/>
        <v>2.7684086690797245</v>
      </c>
      <c r="BD25" s="1">
        <f t="shared" si="20"/>
        <v>9.562357431953284</v>
      </c>
      <c r="BE25" s="14">
        <f t="shared" si="21"/>
        <v>100</v>
      </c>
      <c r="BF25" s="14">
        <f t="shared" si="22"/>
        <v>88.32383748234002</v>
      </c>
      <c r="BG25" s="14">
        <v>7.2960798446080695</v>
      </c>
      <c r="BH25" s="14">
        <v>10.02454564434367</v>
      </c>
      <c r="BI25" s="6">
        <v>15.621364469406402</v>
      </c>
      <c r="BJ25" s="6">
        <v>16.824794079750927</v>
      </c>
      <c r="BK25" s="14">
        <v>17.32062548895174</v>
      </c>
      <c r="BL25" s="14"/>
      <c r="BM25" s="14"/>
      <c r="BN25" s="14"/>
      <c r="BO25" s="17">
        <f t="shared" si="4"/>
        <v>1.8908362911448884</v>
      </c>
      <c r="BP25" s="14">
        <v>0</v>
      </c>
      <c r="BQ25" s="14">
        <v>0</v>
      </c>
      <c r="BR25" s="14">
        <v>0</v>
      </c>
      <c r="BS25" s="14">
        <v>0</v>
      </c>
      <c r="BT25" s="14"/>
      <c r="BU25" s="14">
        <v>0</v>
      </c>
      <c r="BV25" s="14">
        <v>0</v>
      </c>
      <c r="BW25" s="14">
        <v>0</v>
      </c>
      <c r="BX25" s="14">
        <v>259.61564442762585</v>
      </c>
      <c r="BY25" s="14">
        <f>BX25-BY$3*$CL25</f>
        <v>147.24654970044483</v>
      </c>
      <c r="BZ25" s="14">
        <v>396.51956146748057</v>
      </c>
      <c r="CA25" s="14">
        <f>BZ25-CA$3*$CM25</f>
        <v>8.385591187900388</v>
      </c>
      <c r="CB25" s="14">
        <v>656.1352058951064</v>
      </c>
      <c r="CC25" s="102">
        <v>155.63214088834522</v>
      </c>
      <c r="CD25" s="102">
        <v>155.63214088834522</v>
      </c>
      <c r="CE25" s="6">
        <v>273.20476745773226</v>
      </c>
      <c r="CF25" s="14">
        <v>0.5986236369920163</v>
      </c>
      <c r="CG25" s="14">
        <v>0.5326336297645499</v>
      </c>
      <c r="CH25" s="14">
        <v>1.1312572667565661</v>
      </c>
      <c r="CI25" s="6">
        <v>1.1312572667565661</v>
      </c>
      <c r="CJ25" s="6">
        <v>1.1312572667565661</v>
      </c>
      <c r="CK25" s="14"/>
      <c r="CL25" s="14">
        <v>446.00520716068615</v>
      </c>
      <c r="CM25" s="14">
        <v>1540.5461104846843</v>
      </c>
      <c r="CN25" s="14">
        <v>1986.5513176453705</v>
      </c>
      <c r="CO25" s="14"/>
      <c r="CP25" s="14"/>
      <c r="CQ25" s="14"/>
      <c r="CR25" s="14"/>
      <c r="CS25" s="14">
        <f>1.47*CL25+AQ25</f>
        <v>1418.5351221431115</v>
      </c>
      <c r="CT25" s="14">
        <f>1.47*CM25+AR25</f>
        <v>5009.746062630917</v>
      </c>
      <c r="CU25" s="14">
        <f>1.45*CN25+AS25</f>
        <v>6388.550158421121</v>
      </c>
      <c r="CV25" s="6">
        <v>4506.680722223892</v>
      </c>
      <c r="CW25" s="6">
        <v>5726.820655466011</v>
      </c>
      <c r="CX25" s="14"/>
      <c r="CY25" s="14">
        <f t="shared" si="23"/>
        <v>6.38855015842112</v>
      </c>
      <c r="CZ25" s="14">
        <v>16.122512127596938</v>
      </c>
      <c r="DA25" s="14">
        <v>12.920588943812144</v>
      </c>
      <c r="DB25" s="14">
        <v>29.043101071409083</v>
      </c>
      <c r="DC25" s="6">
        <v>25.341075615563277</v>
      </c>
      <c r="DD25" s="14">
        <v>11.214024322186548</v>
      </c>
      <c r="DE25" s="48">
        <f>DD25-DE$3*$CL25</f>
        <v>-5.576759947392224</v>
      </c>
      <c r="DF25" s="14">
        <v>41.76750716085177</v>
      </c>
      <c r="DG25" s="48">
        <f>DF25-DG$3*$CM25</f>
        <v>-16.22952288092457</v>
      </c>
      <c r="DH25" s="14">
        <v>52.981531483038324</v>
      </c>
      <c r="DI25" s="14"/>
      <c r="DJ25" s="40"/>
      <c r="DK25" s="14">
        <v>47.46097048996816</v>
      </c>
      <c r="DL25" s="48">
        <f>DK25-DL$3*$CL25</f>
        <v>-6.059654369314174</v>
      </c>
      <c r="DM25" s="14">
        <v>174.01743484395274</v>
      </c>
      <c r="DN25" s="48">
        <f>DM25-DN$3*$CM25</f>
        <v>-10.848098414209375</v>
      </c>
      <c r="DO25" s="14">
        <v>221.4784053339209</v>
      </c>
      <c r="DP25" s="14"/>
      <c r="DQ25" s="14">
        <v>10.437976232921441</v>
      </c>
      <c r="DR25" s="48">
        <f>DQ25-DR$3*$CL25</f>
        <v>-6.594982809776257</v>
      </c>
      <c r="DS25" s="14">
        <v>49.10248699782975</v>
      </c>
      <c r="DT25" s="48">
        <f>DS25-DT$3*$CM25</f>
        <v>-9.731038669549143</v>
      </c>
      <c r="DU25" s="14">
        <v>59.54046323075119</v>
      </c>
      <c r="DV25" s="14"/>
      <c r="DW25" s="14"/>
      <c r="DX25" s="14"/>
      <c r="DY25" s="6"/>
      <c r="DZ25" s="14"/>
      <c r="EA25" s="1"/>
      <c r="EB25" s="1">
        <v>5.42751335301424</v>
      </c>
      <c r="EC25" s="5">
        <f>BG25+BY25+CZ25+DE25</f>
        <v>165.08838172525762</v>
      </c>
      <c r="ED25" s="5">
        <f>AB25+AE25+AH25+BP25+BU25+CF25</f>
        <v>39.240017759240956</v>
      </c>
      <c r="EE25" s="5">
        <f t="shared" si="26"/>
        <v>1418.5351221431115</v>
      </c>
      <c r="EF25" s="5">
        <f t="shared" si="27"/>
        <v>1622.86352162761</v>
      </c>
      <c r="EG25" s="5">
        <f>EF25+U25</f>
        <v>1622.86352162761</v>
      </c>
      <c r="EH25" s="5">
        <f>EG25+V25</f>
        <v>1832.8574098178246</v>
      </c>
      <c r="EI25" s="1">
        <f t="shared" si="28"/>
        <v>0.1650883817252576</v>
      </c>
      <c r="EJ25" s="1">
        <f t="shared" si="29"/>
        <v>0.03924001775924096</v>
      </c>
      <c r="EK25" s="1">
        <f t="shared" si="30"/>
        <v>1.4185351221431115</v>
      </c>
      <c r="EL25" s="1">
        <f t="shared" si="31"/>
        <v>1.62286352162761</v>
      </c>
      <c r="EM25" s="1">
        <f t="shared" si="32"/>
        <v>1.62286352162761</v>
      </c>
      <c r="EN25" s="1">
        <f t="shared" si="33"/>
        <v>1.8328574098178247</v>
      </c>
      <c r="EO25" s="47">
        <v>1585.3891481259388</v>
      </c>
      <c r="EP25" s="1">
        <f t="shared" si="34"/>
        <v>1.5853891481259388</v>
      </c>
      <c r="EQ25" s="1">
        <f>EP25+U25/1000+V25/1000</f>
        <v>1.7953830363161534</v>
      </c>
      <c r="ER25" s="1"/>
      <c r="ES25" s="1">
        <f>(AH25/95)+(AQ25/35.5)+(BG25/62)+(BX25/48)</f>
        <v>27.31364672104688</v>
      </c>
      <c r="ET25" s="1">
        <f>(AI25/95)+(AR25/35.5)+(BH25/62)+(BZ25/48)</f>
        <v>85.86187294108085</v>
      </c>
      <c r="EU25" s="1">
        <f>(CL25/23)+(CZ25/18)+(DD25/39)+(DK25/12.5)+(DQ25/20)</f>
        <v>24.893541400344414</v>
      </c>
      <c r="EV25" s="1">
        <f>(CM25/23)+(DA25/18)+(DF25/39)+(DM25/12.5)+(DS25/20)</f>
        <v>85.14555702960644</v>
      </c>
      <c r="EW25" s="1">
        <f t="shared" si="37"/>
        <v>0.9113957449395572</v>
      </c>
      <c r="EX25" s="1">
        <f t="shared" si="35"/>
        <v>0.9916573458400336</v>
      </c>
      <c r="EZ25" s="21">
        <f>(CZ25/18)/(BY25/48)</f>
        <v>0.29198216026831597</v>
      </c>
      <c r="FA25" s="21">
        <f>(DA25/18)/(CA25/48)</f>
        <v>4.1088222736019935</v>
      </c>
      <c r="FB25" s="62">
        <f>AH25/BY25</f>
        <v>0.1915900082821312</v>
      </c>
      <c r="FC25" s="62"/>
    </row>
    <row r="26" spans="1:159" s="15" customFormat="1" ht="12.75">
      <c r="A26" s="7"/>
      <c r="B26" s="7"/>
      <c r="C26" s="7"/>
      <c r="F26" s="13"/>
      <c r="G26" s="13"/>
      <c r="H26" s="8">
        <v>36499.510416666664</v>
      </c>
      <c r="I26" s="8">
        <v>36500.50902777778</v>
      </c>
      <c r="J26" s="11">
        <v>-52.86666666666667</v>
      </c>
      <c r="K26">
        <v>7.016666666666667</v>
      </c>
      <c r="L26" s="1">
        <v>-57.516666666666666</v>
      </c>
      <c r="M26" s="1">
        <v>4.366666666666666</v>
      </c>
      <c r="N26" s="14">
        <v>-55.008809274185914</v>
      </c>
      <c r="O26" s="21">
        <v>5.567660080649419</v>
      </c>
      <c r="P26" s="21"/>
      <c r="Q26" s="21"/>
      <c r="R26" s="5">
        <v>0</v>
      </c>
      <c r="S26" s="5">
        <v>374.8020046842106</v>
      </c>
      <c r="T26" s="54">
        <v>1254.2340780444085</v>
      </c>
      <c r="U26" s="44"/>
      <c r="V26" s="29"/>
      <c r="W26" s="29"/>
      <c r="X26" s="45"/>
      <c r="Y26" s="45"/>
      <c r="Z26" s="152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M26" s="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"/>
      <c r="AY26" s="1"/>
      <c r="AZ26" s="14"/>
      <c r="BA26" s="14"/>
      <c r="BB26" s="14"/>
      <c r="BC26" s="1"/>
      <c r="BD26" s="1"/>
      <c r="BE26" s="14"/>
      <c r="BF26" s="14"/>
      <c r="BG26" s="14"/>
      <c r="BH26" s="14"/>
      <c r="BK26" s="14"/>
      <c r="BL26" s="14"/>
      <c r="BM26" s="14"/>
      <c r="BN26" s="14"/>
      <c r="BO26" s="17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F26" s="14"/>
      <c r="CG26" s="14"/>
      <c r="CH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X26" s="14"/>
      <c r="CY26" s="14"/>
      <c r="CZ26" s="14"/>
      <c r="DA26" s="14"/>
      <c r="DB26" s="14"/>
      <c r="DD26" s="14"/>
      <c r="DE26" s="48"/>
      <c r="DF26" s="14"/>
      <c r="DG26" s="48"/>
      <c r="DH26" s="14"/>
      <c r="DI26" s="14"/>
      <c r="DK26" s="14"/>
      <c r="DL26" s="48"/>
      <c r="DM26" s="14"/>
      <c r="DN26" s="48"/>
      <c r="DO26" s="14"/>
      <c r="DP26" s="14"/>
      <c r="DQ26" s="14"/>
      <c r="DR26" s="48"/>
      <c r="DS26" s="14"/>
      <c r="DT26" s="48"/>
      <c r="DU26" s="14"/>
      <c r="DV26" s="14"/>
      <c r="DW26" s="14"/>
      <c r="DX26" s="14"/>
      <c r="DY26" s="6"/>
      <c r="DZ26" s="14"/>
      <c r="EA26" s="1"/>
      <c r="EB26" s="1"/>
      <c r="EC26" s="5"/>
      <c r="ED26" s="5"/>
      <c r="EE26" s="5"/>
      <c r="EF26" s="5"/>
      <c r="EG26" s="5"/>
      <c r="EH26" s="5"/>
      <c r="EI26" s="1"/>
      <c r="EJ26" s="1"/>
      <c r="EK26" s="1"/>
      <c r="EL26" s="1"/>
      <c r="EM26" s="1"/>
      <c r="EN26" s="1"/>
      <c r="EO26" s="74"/>
      <c r="EP26" s="1"/>
      <c r="EQ26" s="1"/>
      <c r="ER26" s="1"/>
      <c r="ES26" s="1"/>
      <c r="ET26" s="1"/>
      <c r="EU26" s="1"/>
      <c r="EV26" s="1"/>
      <c r="EW26" s="1"/>
      <c r="EX26" s="1"/>
      <c r="EZ26" s="21"/>
      <c r="FA26" s="21"/>
      <c r="FB26" s="62"/>
      <c r="FC26" s="62"/>
    </row>
    <row r="27" spans="4:159" s="15" customFormat="1" ht="12.75">
      <c r="D27" s="60" t="s">
        <v>158</v>
      </c>
      <c r="E27" s="60">
        <v>5</v>
      </c>
      <c r="F27" s="13">
        <v>36502.01388888889</v>
      </c>
      <c r="G27" s="13">
        <v>36502.899305555555</v>
      </c>
      <c r="H27" s="8">
        <v>36502.01388888889</v>
      </c>
      <c r="I27" s="8">
        <v>36502.899305555555</v>
      </c>
      <c r="J27" s="11">
        <v>-66</v>
      </c>
      <c r="K27">
        <v>3.7333333333333334</v>
      </c>
      <c r="L27" s="11">
        <v>-70.1</v>
      </c>
      <c r="M27">
        <v>5.283333333333333</v>
      </c>
      <c r="N27" s="14">
        <v>-68.21664147285915</v>
      </c>
      <c r="O27" s="21">
        <v>4.093679032849302</v>
      </c>
      <c r="P27" s="14">
        <v>-68.21664147285915</v>
      </c>
      <c r="Q27" s="21">
        <v>4.093679032849302</v>
      </c>
      <c r="R27" s="5">
        <v>0</v>
      </c>
      <c r="S27" s="5">
        <v>104.31874780973006</v>
      </c>
      <c r="T27" s="54">
        <v>521.3321613302915</v>
      </c>
      <c r="U27" s="47">
        <f>AVERAGE(R27:R28)</f>
        <v>0</v>
      </c>
      <c r="V27" s="47">
        <f>AVERAGE(S27:S28)</f>
        <v>104.31874780973006</v>
      </c>
      <c r="W27" s="47">
        <f>AVERAGE(T27:T28)</f>
        <v>521.3321613302915</v>
      </c>
      <c r="X27" s="1">
        <f>'HV'!BK30</f>
        <v>11.805369936716378</v>
      </c>
      <c r="Y27" s="1"/>
      <c r="Z27" s="151">
        <v>14.024999999961583</v>
      </c>
      <c r="AA27" s="148"/>
      <c r="AB27" s="14">
        <v>0.7986861228970179</v>
      </c>
      <c r="AC27" s="14">
        <v>9.321087163562073</v>
      </c>
      <c r="AD27" s="14">
        <v>10.11977328645909</v>
      </c>
      <c r="AE27" s="14">
        <v>0</v>
      </c>
      <c r="AF27" s="14">
        <v>2.002593902679282</v>
      </c>
      <c r="AG27" s="14">
        <v>2.002593902679282</v>
      </c>
      <c r="AH27" s="14">
        <v>0</v>
      </c>
      <c r="AI27" s="14">
        <v>0</v>
      </c>
      <c r="AJ27" s="14">
        <v>0</v>
      </c>
      <c r="AK27" s="14"/>
      <c r="AL27" s="6"/>
      <c r="AM27" s="6"/>
      <c r="AN27" s="14">
        <v>0</v>
      </c>
      <c r="AO27" s="14">
        <v>0</v>
      </c>
      <c r="AP27" s="14">
        <v>0</v>
      </c>
      <c r="AQ27" s="14">
        <v>2.8975070904892206</v>
      </c>
      <c r="AR27" s="14">
        <v>151.45203646718133</v>
      </c>
      <c r="AS27" s="14">
        <v>154.34954355767056</v>
      </c>
      <c r="AT27" s="14">
        <f>$AT$2*CL27</f>
        <v>53.746096427890265</v>
      </c>
      <c r="AU27" s="14">
        <f>$AT$2*CM27</f>
        <v>313.342202503412</v>
      </c>
      <c r="AV27" s="14">
        <f t="shared" si="17"/>
        <v>94.60889760733278</v>
      </c>
      <c r="AW27" s="14">
        <f t="shared" si="18"/>
        <v>51.66561182720602</v>
      </c>
      <c r="AX27" s="1">
        <f>AQ27/CL27</f>
        <v>0.09694226655411543</v>
      </c>
      <c r="AY27" s="1">
        <f>AR27/CM27</f>
        <v>0.8691441565551279</v>
      </c>
      <c r="AZ27" s="14">
        <v>0</v>
      </c>
      <c r="BA27" s="14">
        <v>0</v>
      </c>
      <c r="BB27" s="14">
        <v>0</v>
      </c>
      <c r="BC27" s="1">
        <f t="shared" si="19"/>
        <v>0.18552464500197974</v>
      </c>
      <c r="BD27" s="1">
        <f t="shared" si="20"/>
        <v>1.081617173101661</v>
      </c>
      <c r="BE27" s="14">
        <f t="shared" si="21"/>
        <v>100</v>
      </c>
      <c r="BF27" s="14">
        <f t="shared" si="22"/>
        <v>100</v>
      </c>
      <c r="BG27" s="14">
        <v>0</v>
      </c>
      <c r="BH27" s="14">
        <v>11.622061167233262</v>
      </c>
      <c r="BI27" s="6">
        <v>10.28491489129377</v>
      </c>
      <c r="BJ27" s="6">
        <v>11.622061167233262</v>
      </c>
      <c r="BK27" s="14">
        <v>11.622061167233262</v>
      </c>
      <c r="BL27" s="14"/>
      <c r="BM27" s="14"/>
      <c r="BN27" s="14"/>
      <c r="BO27" s="17">
        <f t="shared" si="4"/>
        <v>0.9844724247977186</v>
      </c>
      <c r="BP27" s="14">
        <v>0</v>
      </c>
      <c r="BQ27" s="14">
        <v>0</v>
      </c>
      <c r="BR27" s="14">
        <v>0</v>
      </c>
      <c r="BS27" s="14">
        <v>0</v>
      </c>
      <c r="BT27" s="14"/>
      <c r="BU27" s="14">
        <v>0</v>
      </c>
      <c r="BV27" s="14">
        <v>0</v>
      </c>
      <c r="BW27" s="14">
        <v>0</v>
      </c>
      <c r="BX27" s="14">
        <v>84.36763657527567</v>
      </c>
      <c r="BY27" s="14">
        <f>BX27-BY$3*$CL27</f>
        <v>76.8372323248858</v>
      </c>
      <c r="BZ27" s="14">
        <v>23.076125179267013</v>
      </c>
      <c r="CA27" s="14">
        <f>BZ27-CA$3*$CM27</f>
        <v>-20.826476318946323</v>
      </c>
      <c r="CB27" s="14">
        <v>107.44376175454268</v>
      </c>
      <c r="CC27" s="102">
        <v>76.8372323248858</v>
      </c>
      <c r="CD27" s="102">
        <v>76.8372323248858</v>
      </c>
      <c r="CE27" s="6">
        <v>85.17898337439497</v>
      </c>
      <c r="CF27" s="14">
        <v>0</v>
      </c>
      <c r="CG27" s="14">
        <v>0</v>
      </c>
      <c r="CH27" s="14">
        <v>0</v>
      </c>
      <c r="CI27" s="6">
        <v>0</v>
      </c>
      <c r="CJ27" s="6">
        <v>0</v>
      </c>
      <c r="CK27" s="14"/>
      <c r="CL27" s="14">
        <v>29.888996755318946</v>
      </c>
      <c r="CM27" s="14">
        <v>174.2542193086413</v>
      </c>
      <c r="CN27" s="14">
        <v>204.14321606396027</v>
      </c>
      <c r="CO27" s="14"/>
      <c r="CP27" s="14"/>
      <c r="CQ27" s="14"/>
      <c r="CR27" s="14"/>
      <c r="CS27" s="14">
        <f>1.45*CL27+AQ27</f>
        <v>46.23655238570169</v>
      </c>
      <c r="CT27" s="14">
        <f>1.47*CM27+AR27</f>
        <v>407.605738850884</v>
      </c>
      <c r="CU27" s="14">
        <f>1.45*CN27+AS27</f>
        <v>450.3572068504129</v>
      </c>
      <c r="CV27" s="6">
        <v>412.17680104426796</v>
      </c>
      <c r="CW27" s="6">
        <v>532.0714783793761</v>
      </c>
      <c r="CX27" s="14"/>
      <c r="CY27" s="14">
        <f t="shared" si="23"/>
        <v>0.4503572068504129</v>
      </c>
      <c r="CZ27" s="14">
        <v>10.447933243622202</v>
      </c>
      <c r="DA27" s="14">
        <v>2.1942179805835504</v>
      </c>
      <c r="DB27" s="14">
        <v>12.642151224205753</v>
      </c>
      <c r="DC27" s="6">
        <v>10.491585308420895</v>
      </c>
      <c r="DD27" s="14">
        <v>0</v>
      </c>
      <c r="DE27" s="48">
        <f>DD27-DE$3*$CL27</f>
        <v>-1.125232819023772</v>
      </c>
      <c r="DF27" s="14">
        <v>1.2022097023205836</v>
      </c>
      <c r="DG27" s="48">
        <f>DF27-DG$3*$CM27</f>
        <v>-5.357949142240029</v>
      </c>
      <c r="DH27" s="14">
        <v>1.2022097023205836</v>
      </c>
      <c r="DI27" s="14"/>
      <c r="DJ27" s="40"/>
      <c r="DK27" s="14">
        <v>0</v>
      </c>
      <c r="DL27" s="48">
        <f>DK27-DL$3*$CL27</f>
        <v>-3.5866796106382735</v>
      </c>
      <c r="DM27" s="14">
        <v>7.53123056686555</v>
      </c>
      <c r="DN27" s="48">
        <f>DM27-DN$3*$CM27</f>
        <v>-13.379275750171406</v>
      </c>
      <c r="DO27" s="14">
        <v>7.53123056686555</v>
      </c>
      <c r="DP27" s="14"/>
      <c r="DQ27" s="14">
        <v>0</v>
      </c>
      <c r="DR27" s="48">
        <f>DQ27-DR$3*$CL27</f>
        <v>-1.1414621385289228</v>
      </c>
      <c r="DS27" s="14">
        <v>1.58276172861396</v>
      </c>
      <c r="DT27" s="48">
        <f>DS27-DT$3*$CM27</f>
        <v>-5.072014791589355</v>
      </c>
      <c r="DU27" s="14">
        <v>1.58276172861396</v>
      </c>
      <c r="DV27" s="14"/>
      <c r="DW27" s="14"/>
      <c r="DX27" s="14"/>
      <c r="DY27" s="14"/>
      <c r="DZ27" s="14"/>
      <c r="EA27" s="1"/>
      <c r="EB27" s="1">
        <v>0</v>
      </c>
      <c r="EC27" s="5">
        <f>BG27+BY27+CZ27+DE27</f>
        <v>86.15993274948423</v>
      </c>
      <c r="ED27" s="5">
        <f>AB27+AE27+AH27+BP27+BU27+CF27</f>
        <v>0.7986861228970179</v>
      </c>
      <c r="EE27" s="5">
        <f t="shared" si="26"/>
        <v>46.23655238570169</v>
      </c>
      <c r="EF27" s="5">
        <f t="shared" si="27"/>
        <v>133.19517125808295</v>
      </c>
      <c r="EG27" s="5">
        <f>EF27+U27</f>
        <v>133.19517125808295</v>
      </c>
      <c r="EH27" s="5">
        <f>EG27+V27</f>
        <v>237.513919067813</v>
      </c>
      <c r="EI27" s="1">
        <f t="shared" si="28"/>
        <v>0.08615993274948423</v>
      </c>
      <c r="EJ27" s="1">
        <f t="shared" si="29"/>
        <v>0.0007986861228970179</v>
      </c>
      <c r="EK27" s="1">
        <f t="shared" si="30"/>
        <v>0.04623655238570169</v>
      </c>
      <c r="EL27" s="1">
        <f t="shared" si="31"/>
        <v>0.13319517125808294</v>
      </c>
      <c r="EM27" s="1">
        <f t="shared" si="32"/>
        <v>0.13319517125808294</v>
      </c>
      <c r="EN27" s="1">
        <f t="shared" si="33"/>
        <v>0.237513919067813</v>
      </c>
      <c r="EO27" s="47">
        <v>114.8744756562533</v>
      </c>
      <c r="EP27" s="1">
        <f t="shared" si="34"/>
        <v>0.11487447565625329</v>
      </c>
      <c r="EQ27" s="1">
        <f>EP27+U27/1000+V27/1000</f>
        <v>0.21919322346598336</v>
      </c>
      <c r="ER27" s="1"/>
      <c r="ES27" s="1">
        <f>(AH27/95)+(AQ27/35.5)+(BG27/62)+(BX27/48)</f>
        <v>1.839279013360193</v>
      </c>
      <c r="ET27" s="1">
        <f>(AI27/95)+(AU27/35.5)+(BH27/62)+(BZ27/48)</f>
        <v>9.49474612296197</v>
      </c>
      <c r="EU27" s="1">
        <f>(CL27/23)+(CZ27/18)+(DD27/39)+(DK27/12.5)+(DQ27/20)</f>
        <v>1.8799623338141345</v>
      </c>
      <c r="EV27" s="1">
        <f>(CM27/23)+(DA27/18)+(DF27/39)+(DM27/12.5)+(DS27/20)</f>
        <v>8.410633825227876</v>
      </c>
      <c r="EW27" s="1">
        <f t="shared" si="37"/>
        <v>1.0221191674337744</v>
      </c>
      <c r="EX27" s="1">
        <f t="shared" si="35"/>
        <v>0.8858197698290962</v>
      </c>
      <c r="EZ27" s="21">
        <f>(CZ27/18)/(BY27/48)</f>
        <v>0.3625996730142802</v>
      </c>
      <c r="FA27" s="21">
        <f>(DA27/18)/(CA27/48)</f>
        <v>-0.28095237324903527</v>
      </c>
      <c r="FB27" s="62"/>
      <c r="FC27" s="62"/>
    </row>
    <row r="28" spans="6:159" s="15" customFormat="1" ht="12.75">
      <c r="F28" s="12"/>
      <c r="G28" s="12"/>
      <c r="H28" s="6"/>
      <c r="I28" s="6"/>
      <c r="J28"/>
      <c r="K28"/>
      <c r="L28"/>
      <c r="M28"/>
      <c r="N28" s="14"/>
      <c r="O28"/>
      <c r="P28"/>
      <c r="Q28"/>
      <c r="R28" s="5"/>
      <c r="S28" s="5"/>
      <c r="T28" s="5"/>
      <c r="U28" s="45"/>
      <c r="V28" s="45"/>
      <c r="W28" s="45"/>
      <c r="X28" s="45"/>
      <c r="Y28" s="45"/>
      <c r="Z28" s="45"/>
      <c r="AA28" s="45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"/>
      <c r="AY28" s="1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48"/>
      <c r="DF28" s="14"/>
      <c r="DG28" s="48"/>
      <c r="DH28" s="14"/>
      <c r="DI28" s="14"/>
      <c r="DJ28" s="14"/>
      <c r="DK28" s="14"/>
      <c r="DL28" s="48"/>
      <c r="DM28" s="14"/>
      <c r="DN28" s="48"/>
      <c r="DO28" s="14"/>
      <c r="DP28" s="14"/>
      <c r="DQ28" s="14"/>
      <c r="DR28" s="48"/>
      <c r="DS28" s="14"/>
      <c r="DT28" s="48"/>
      <c r="DU28" s="14"/>
      <c r="DV28" s="14"/>
      <c r="DW28" s="14"/>
      <c r="DX28" s="14"/>
      <c r="DY28" s="14"/>
      <c r="DZ28" s="14"/>
      <c r="EA28" s="1"/>
      <c r="EB28"/>
      <c r="EC28" s="5"/>
      <c r="ED28" s="5"/>
      <c r="EE28" s="5"/>
      <c r="EF28" s="5"/>
      <c r="EG28" s="5"/>
      <c r="EH28" s="5"/>
      <c r="EI28" s="1"/>
      <c r="EJ28" s="1"/>
      <c r="EK28" s="1"/>
      <c r="EL28" s="1"/>
      <c r="EM28" s="1"/>
      <c r="EN28" s="1"/>
      <c r="EO28" s="5"/>
      <c r="EP28"/>
      <c r="EQ28" s="1"/>
      <c r="ER28"/>
      <c r="ES28" s="1"/>
      <c r="ET28" s="1"/>
      <c r="EU28" s="1"/>
      <c r="EV28" s="1"/>
      <c r="EW28" s="1"/>
      <c r="EX28" s="1"/>
      <c r="EZ28" s="21"/>
      <c r="FA28" s="21"/>
      <c r="FB28" s="62"/>
      <c r="FC28" s="62"/>
    </row>
    <row r="29" spans="28:29" ht="12.75">
      <c r="AB29" s="24"/>
      <c r="AC29" s="24"/>
    </row>
    <row r="30" spans="28:29" ht="12.75">
      <c r="AB30" s="24"/>
      <c r="AC30" s="24"/>
    </row>
    <row r="31" spans="28:29" ht="12.75">
      <c r="AB31" s="24"/>
      <c r="AC31" s="24"/>
    </row>
    <row r="32" spans="28:29" ht="12.75">
      <c r="AB32" s="24"/>
      <c r="AC32" s="24"/>
    </row>
    <row r="33" spans="28:29" ht="12.75">
      <c r="AB33" s="24"/>
      <c r="AC33" s="24"/>
    </row>
    <row r="34" spans="28:29" ht="12.75">
      <c r="AB34" s="24"/>
      <c r="AC34" s="24"/>
    </row>
    <row r="35" spans="28:29" ht="12.75">
      <c r="AB35" s="24"/>
      <c r="AC35" s="24"/>
    </row>
    <row r="36" spans="28:29" ht="12.75">
      <c r="AB36" s="24"/>
      <c r="AC36" s="24"/>
    </row>
    <row r="37" spans="28:29" ht="12.75">
      <c r="AB37" s="24"/>
      <c r="AC37" s="24"/>
    </row>
    <row r="38" spans="28:29" ht="12.75">
      <c r="AB38" s="24"/>
      <c r="AC38" s="24"/>
    </row>
    <row r="39" spans="28:29" ht="12.75">
      <c r="AB39" s="24"/>
      <c r="AC39" s="24"/>
    </row>
    <row r="40" spans="28:29" ht="12.75">
      <c r="AB40" s="24"/>
      <c r="AC40" s="24"/>
    </row>
    <row r="41" spans="28:29" ht="12.75">
      <c r="AB41" s="24"/>
      <c r="AC41" s="24"/>
    </row>
    <row r="42" spans="28:29" ht="12.75">
      <c r="AB42" s="24"/>
      <c r="AC42" s="24"/>
    </row>
    <row r="43" spans="28:29" ht="12.75">
      <c r="AB43" s="24"/>
      <c r="AC43" s="24"/>
    </row>
    <row r="44" spans="28:29" ht="12.75">
      <c r="AB44" s="24"/>
      <c r="AC44" s="24"/>
    </row>
    <row r="45" spans="28:29" ht="12.75">
      <c r="AB45" s="24"/>
      <c r="AC45" s="24"/>
    </row>
    <row r="46" spans="28:29" ht="12.75">
      <c r="AB46" s="24"/>
      <c r="AC46" s="24"/>
    </row>
    <row r="47" spans="28:29" ht="12.75">
      <c r="AB47" s="24"/>
      <c r="AC47" s="24"/>
    </row>
    <row r="48" spans="28:29" ht="12.75">
      <c r="AB48" s="24"/>
      <c r="AC48" s="24"/>
    </row>
    <row r="49" spans="28:29" ht="12.75">
      <c r="AB49" s="24"/>
      <c r="AC49" s="24"/>
    </row>
    <row r="50" spans="28:29" ht="12.75">
      <c r="AB50" s="24"/>
      <c r="AC50" s="24"/>
    </row>
  </sheetData>
  <sheetProtection/>
  <printOptions/>
  <pageMargins left="0.75" right="0.75" top="1" bottom="1" header="0.5" footer="0.5"/>
  <pageSetup horizontalDpi="600" verticalDpi="600" orientation="portrait" paperSize="9" r:id="rId7"/>
  <legacyDrawing r:id="rId6"/>
  <oleObjects>
    <oleObject progId="Equation.3" shapeId="5914359" r:id="rId1"/>
    <oleObject progId="Equation.3" shapeId="5914358" r:id="rId2"/>
    <oleObject progId="Equation.3" shapeId="5914357" r:id="rId3"/>
    <oleObject progId="Equation.3" shapeId="5914356" r:id="rId4"/>
    <oleObject progId="Equation.3" shapeId="5914355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W32"/>
  <sheetViews>
    <sheetView zoomScale="75" zoomScaleNormal="75" zoomScalePageLayoutView="0" workbookViewId="0" topLeftCell="BK2">
      <pane xSplit="13110" ySplit="1440" topLeftCell="EV26" activePane="bottomLeft" state="split"/>
      <selection pane="topLeft" activeCell="AJ5" sqref="AJ5"/>
      <selection pane="topRight" activeCell="FC6" sqref="FC6"/>
      <selection pane="bottomLeft" activeCell="BP34" sqref="BP34"/>
      <selection pane="bottomRight" activeCell="FB30" sqref="FB30"/>
    </sheetView>
  </sheetViews>
  <sheetFormatPr defaultColWidth="9.140625" defaultRowHeight="12.75"/>
  <cols>
    <col min="1" max="2" width="9.140625" style="46" hidden="1" customWidth="1"/>
    <col min="3" max="5" width="9.140625" style="46" customWidth="1"/>
    <col min="6" max="7" width="16.7109375" style="46" customWidth="1"/>
    <col min="8" max="8" width="4.140625" style="46" customWidth="1"/>
    <col min="9" max="12" width="7.00390625" style="46" customWidth="1"/>
    <col min="13" max="13" width="9.00390625" style="46" customWidth="1"/>
    <col min="14" max="17" width="9.140625" style="46" customWidth="1"/>
    <col min="18" max="18" width="21.28125" style="46" customWidth="1"/>
    <col min="19" max="35" width="9.140625" style="46" customWidth="1"/>
    <col min="36" max="36" width="1.7109375" style="105" customWidth="1"/>
    <col min="37" max="44" width="9.140625" style="106" customWidth="1"/>
    <col min="45" max="45" width="1.7109375" style="105" customWidth="1"/>
    <col min="46" max="53" width="9.140625" style="46" customWidth="1"/>
    <col min="54" max="54" width="1.7109375" style="105" customWidth="1"/>
    <col min="55" max="82" width="9.140625" style="46" customWidth="1"/>
    <col min="83" max="83" width="1.7109375" style="105" customWidth="1"/>
    <col min="84" max="100" width="9.140625" style="46" customWidth="1"/>
    <col min="101" max="101" width="1.7109375" style="105" customWidth="1"/>
    <col min="102" max="102" width="8.00390625" style="46" customWidth="1"/>
    <col min="103" max="110" width="9.140625" style="46" customWidth="1"/>
    <col min="111" max="111" width="2.140625" style="107" customWidth="1"/>
    <col min="112" max="170" width="9.140625" style="46" customWidth="1"/>
    <col min="171" max="172" width="9.28125" style="46" bestFit="1" customWidth="1"/>
    <col min="173" max="173" width="9.140625" style="46" customWidth="1"/>
    <col min="174" max="179" width="9.28125" style="46" bestFit="1" customWidth="1"/>
    <col min="180" max="16384" width="9.140625" style="46" customWidth="1"/>
  </cols>
  <sheetData>
    <row r="1" spans="21:112" ht="15.75">
      <c r="U1" s="51" t="s">
        <v>322</v>
      </c>
      <c r="BI1" s="35" t="s">
        <v>73</v>
      </c>
      <c r="DH1" s="51" t="s">
        <v>325</v>
      </c>
    </row>
    <row r="2" spans="21:174" ht="15.75">
      <c r="U2" s="106" t="s">
        <v>335</v>
      </c>
      <c r="Z2" s="34" t="s">
        <v>72</v>
      </c>
      <c r="AA2" s="35" t="s">
        <v>73</v>
      </c>
      <c r="AJ2" s="108"/>
      <c r="AS2" s="108"/>
      <c r="AT2" s="106"/>
      <c r="AV2" s="106"/>
      <c r="AW2" s="106"/>
      <c r="AX2" s="106"/>
      <c r="AY2" s="106"/>
      <c r="AZ2" s="106"/>
      <c r="BA2" s="106"/>
      <c r="BB2" s="108"/>
      <c r="BI2" s="46">
        <v>0.006207121855602744</v>
      </c>
      <c r="BR2" s="46" t="s">
        <v>282</v>
      </c>
      <c r="CE2" s="108"/>
      <c r="CW2" s="108"/>
      <c r="CX2" s="106"/>
      <c r="CZ2" s="106"/>
      <c r="DA2" s="106"/>
      <c r="DB2" s="106"/>
      <c r="DC2" s="106"/>
      <c r="DD2" s="106"/>
      <c r="DE2" s="106"/>
      <c r="DF2" s="106"/>
      <c r="DH2" s="106"/>
      <c r="EA2" s="35" t="s">
        <v>75</v>
      </c>
      <c r="EG2" s="35" t="s">
        <v>75</v>
      </c>
      <c r="EM2" s="35"/>
      <c r="EO2" s="46" t="s">
        <v>44</v>
      </c>
      <c r="EY2" s="46" t="s">
        <v>80</v>
      </c>
      <c r="FR2" s="103"/>
    </row>
    <row r="3" spans="21:179" ht="15.75">
      <c r="U3" s="109" t="s">
        <v>25</v>
      </c>
      <c r="V3" s="109" t="s">
        <v>25</v>
      </c>
      <c r="W3" s="109" t="s">
        <v>25</v>
      </c>
      <c r="X3" s="109" t="s">
        <v>25</v>
      </c>
      <c r="Y3" s="109" t="s">
        <v>25</v>
      </c>
      <c r="Z3" s="46" t="s">
        <v>8</v>
      </c>
      <c r="AA3" s="46">
        <v>0.006207121855602744</v>
      </c>
      <c r="AC3" s="109" t="s">
        <v>25</v>
      </c>
      <c r="AD3" s="109" t="s">
        <v>25</v>
      </c>
      <c r="AE3" s="109" t="s">
        <v>25</v>
      </c>
      <c r="AF3" s="109" t="s">
        <v>25</v>
      </c>
      <c r="AG3" s="109" t="s">
        <v>25</v>
      </c>
      <c r="AH3" s="35" t="s">
        <v>195</v>
      </c>
      <c r="AI3" s="46" t="s">
        <v>25</v>
      </c>
      <c r="AJ3" s="108"/>
      <c r="AK3" s="109" t="s">
        <v>49</v>
      </c>
      <c r="AL3" s="109" t="s">
        <v>49</v>
      </c>
      <c r="AM3" s="109" t="s">
        <v>49</v>
      </c>
      <c r="AN3" s="109" t="s">
        <v>49</v>
      </c>
      <c r="AO3" s="109" t="s">
        <v>49</v>
      </c>
      <c r="AP3" s="109" t="s">
        <v>49</v>
      </c>
      <c r="AQ3" s="109" t="s">
        <v>49</v>
      </c>
      <c r="AR3" s="109" t="s">
        <v>49</v>
      </c>
      <c r="AS3" s="108"/>
      <c r="AT3" s="109" t="s">
        <v>47</v>
      </c>
      <c r="AU3" s="109" t="s">
        <v>47</v>
      </c>
      <c r="AV3" s="109" t="s">
        <v>47</v>
      </c>
      <c r="AW3" s="109" t="s">
        <v>47</v>
      </c>
      <c r="AX3" s="109" t="s">
        <v>47</v>
      </c>
      <c r="AY3" s="109" t="s">
        <v>47</v>
      </c>
      <c r="AZ3" s="109" t="s">
        <v>47</v>
      </c>
      <c r="BA3" s="109" t="s">
        <v>47</v>
      </c>
      <c r="BB3" s="109"/>
      <c r="BC3" s="109" t="s">
        <v>26</v>
      </c>
      <c r="BD3" s="109" t="s">
        <v>26</v>
      </c>
      <c r="BE3" s="109" t="s">
        <v>26</v>
      </c>
      <c r="BF3" s="109" t="s">
        <v>26</v>
      </c>
      <c r="BG3" s="109" t="s">
        <v>26</v>
      </c>
      <c r="BH3" s="109" t="s">
        <v>26</v>
      </c>
      <c r="BK3" s="109" t="s">
        <v>26</v>
      </c>
      <c r="BL3" s="109" t="s">
        <v>26</v>
      </c>
      <c r="BM3" s="109" t="s">
        <v>26</v>
      </c>
      <c r="BN3" s="109" t="s">
        <v>26</v>
      </c>
      <c r="BO3" s="109" t="s">
        <v>26</v>
      </c>
      <c r="BP3" s="35" t="s">
        <v>195</v>
      </c>
      <c r="BQ3" s="109" t="s">
        <v>26</v>
      </c>
      <c r="BR3" s="109" t="s">
        <v>26</v>
      </c>
      <c r="BS3" s="109" t="s">
        <v>26</v>
      </c>
      <c r="BT3" s="109" t="s">
        <v>26</v>
      </c>
      <c r="BU3" s="109" t="s">
        <v>26</v>
      </c>
      <c r="BV3" s="109" t="s">
        <v>26</v>
      </c>
      <c r="BW3" s="109" t="s">
        <v>26</v>
      </c>
      <c r="BX3" s="109" t="s">
        <v>26</v>
      </c>
      <c r="BY3" s="109" t="s">
        <v>26</v>
      </c>
      <c r="BZ3" s="109" t="s">
        <v>26</v>
      </c>
      <c r="CA3" s="109" t="s">
        <v>26</v>
      </c>
      <c r="CB3" s="109" t="s">
        <v>26</v>
      </c>
      <c r="CC3" s="35" t="s">
        <v>195</v>
      </c>
      <c r="CD3" s="109" t="s">
        <v>26</v>
      </c>
      <c r="CE3" s="108"/>
      <c r="CF3" s="109" t="s">
        <v>27</v>
      </c>
      <c r="CW3" s="108"/>
      <c r="CX3" s="109" t="s">
        <v>48</v>
      </c>
      <c r="CY3" s="106"/>
      <c r="CZ3" s="106"/>
      <c r="DA3" s="106"/>
      <c r="DB3" s="106"/>
      <c r="DC3" s="106"/>
      <c r="DD3" s="106"/>
      <c r="DE3" s="106"/>
      <c r="DF3" s="106"/>
      <c r="DZ3" s="34"/>
      <c r="EA3" s="35" t="s">
        <v>187</v>
      </c>
      <c r="EB3" s="34"/>
      <c r="EC3" s="35" t="s">
        <v>186</v>
      </c>
      <c r="EE3" s="35" t="s">
        <v>186</v>
      </c>
      <c r="EF3" s="34"/>
      <c r="EG3" s="35"/>
      <c r="EI3" s="35" t="s">
        <v>188</v>
      </c>
      <c r="EK3" s="35" t="s">
        <v>188</v>
      </c>
      <c r="EL3" s="34"/>
      <c r="EM3" s="35"/>
      <c r="EO3" s="35" t="s">
        <v>195</v>
      </c>
      <c r="EY3" s="46" t="s">
        <v>81</v>
      </c>
      <c r="FA3" s="51" t="s">
        <v>327</v>
      </c>
      <c r="FB3" s="51" t="s">
        <v>327</v>
      </c>
      <c r="FR3" s="103" t="s">
        <v>336</v>
      </c>
      <c r="FS3" s="106"/>
      <c r="FT3" s="106"/>
      <c r="FU3" s="106"/>
      <c r="FV3" s="106"/>
      <c r="FW3" s="106"/>
    </row>
    <row r="4" spans="1:179" ht="15.75">
      <c r="A4" s="51" t="s">
        <v>317</v>
      </c>
      <c r="B4" s="51"/>
      <c r="C4" s="51"/>
      <c r="F4" s="110"/>
      <c r="G4" s="110"/>
      <c r="H4" s="110"/>
      <c r="I4" s="46" t="s">
        <v>271</v>
      </c>
      <c r="K4" s="46" t="s">
        <v>272</v>
      </c>
      <c r="M4" s="46" t="s">
        <v>310</v>
      </c>
      <c r="R4" s="149" t="s">
        <v>351</v>
      </c>
      <c r="V4" s="109"/>
      <c r="W4" s="109"/>
      <c r="X4" s="109"/>
      <c r="Y4" s="109"/>
      <c r="Z4" s="109"/>
      <c r="AC4" s="109"/>
      <c r="AD4" s="109"/>
      <c r="AE4" s="109"/>
      <c r="AF4" s="109"/>
      <c r="AG4" s="109"/>
      <c r="AH4" s="111">
        <v>0.2519457013574661</v>
      </c>
      <c r="AI4" s="109"/>
      <c r="AJ4" s="112"/>
      <c r="AK4" s="109"/>
      <c r="AL4" s="109"/>
      <c r="AM4" s="109"/>
      <c r="AN4" s="109"/>
      <c r="AO4" s="109"/>
      <c r="AP4" s="109"/>
      <c r="AQ4" s="109"/>
      <c r="AR4" s="109"/>
      <c r="AS4" s="112"/>
      <c r="AT4" s="109"/>
      <c r="AU4" s="109"/>
      <c r="AV4" s="109"/>
      <c r="AW4" s="109"/>
      <c r="AX4" s="109"/>
      <c r="AY4" s="109"/>
      <c r="AZ4" s="109"/>
      <c r="BA4" s="109"/>
      <c r="BB4" s="112"/>
      <c r="BC4" s="109"/>
      <c r="BD4" s="109"/>
      <c r="BE4" s="109"/>
      <c r="BF4" s="109"/>
      <c r="BG4" s="109"/>
      <c r="BH4" s="109"/>
      <c r="BK4" s="109"/>
      <c r="BL4" s="109"/>
      <c r="BM4" s="109"/>
      <c r="BN4" s="109"/>
      <c r="BO4" s="109"/>
      <c r="BP4" s="111">
        <v>0.2519457013574661</v>
      </c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11">
        <v>0.2519457013574661</v>
      </c>
      <c r="CD4" s="109"/>
      <c r="CE4" s="112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13" t="s">
        <v>284</v>
      </c>
      <c r="CT4" s="109"/>
      <c r="CU4" s="109"/>
      <c r="CV4" s="109"/>
      <c r="CW4" s="112"/>
      <c r="CX4" s="109"/>
      <c r="CY4" s="109"/>
      <c r="CZ4" s="109"/>
      <c r="DA4" s="109"/>
      <c r="DB4" s="109"/>
      <c r="DC4" s="109"/>
      <c r="DD4" s="109"/>
      <c r="DE4" s="109"/>
      <c r="DF4" s="109"/>
      <c r="DZ4" s="37"/>
      <c r="EA4" s="36">
        <v>0.03764705882352941</v>
      </c>
      <c r="EB4" s="37"/>
      <c r="EC4" s="36">
        <v>0.12</v>
      </c>
      <c r="EE4" s="36">
        <v>0.12</v>
      </c>
      <c r="EF4" s="37"/>
      <c r="EG4" s="36"/>
      <c r="EI4" s="36">
        <v>0.03819004524886878</v>
      </c>
      <c r="EK4" s="36">
        <v>0.03819004524886878</v>
      </c>
      <c r="EL4" s="37"/>
      <c r="EM4" s="36"/>
      <c r="EO4" s="111">
        <v>0.2519457013574661</v>
      </c>
      <c r="EU4" s="51" t="s">
        <v>330</v>
      </c>
      <c r="EY4" s="46" t="s">
        <v>82</v>
      </c>
      <c r="FA4" s="51" t="s">
        <v>328</v>
      </c>
      <c r="FB4" s="51" t="s">
        <v>329</v>
      </c>
      <c r="FC4" s="51" t="s">
        <v>88</v>
      </c>
      <c r="FD4" s="51" t="s">
        <v>88</v>
      </c>
      <c r="FE4" s="51" t="s">
        <v>326</v>
      </c>
      <c r="FL4" s="51" t="s">
        <v>323</v>
      </c>
      <c r="FR4" s="103" t="s">
        <v>324</v>
      </c>
      <c r="FS4" s="103"/>
      <c r="FT4" s="103" t="s">
        <v>325</v>
      </c>
      <c r="FU4" s="103"/>
      <c r="FV4" s="103"/>
      <c r="FW4" s="103"/>
    </row>
    <row r="5" spans="1:179" ht="18.75">
      <c r="A5" s="39" t="s">
        <v>215</v>
      </c>
      <c r="B5" s="39" t="s">
        <v>94</v>
      </c>
      <c r="C5" s="39" t="s">
        <v>95</v>
      </c>
      <c r="D5" s="46" t="s">
        <v>318</v>
      </c>
      <c r="E5" s="81" t="s">
        <v>319</v>
      </c>
      <c r="F5" s="80" t="s">
        <v>271</v>
      </c>
      <c r="G5" s="80" t="s">
        <v>272</v>
      </c>
      <c r="I5" s="18" t="s">
        <v>53</v>
      </c>
      <c r="J5" s="18" t="s">
        <v>54</v>
      </c>
      <c r="K5" s="18" t="s">
        <v>53</v>
      </c>
      <c r="L5" s="18" t="s">
        <v>54</v>
      </c>
      <c r="M5" s="46" t="s">
        <v>337</v>
      </c>
      <c r="N5" s="46" t="s">
        <v>338</v>
      </c>
      <c r="O5" s="114" t="s">
        <v>320</v>
      </c>
      <c r="P5" s="114" t="s">
        <v>321</v>
      </c>
      <c r="Q5" s="114"/>
      <c r="R5" s="150" t="s">
        <v>349</v>
      </c>
      <c r="S5" s="114"/>
      <c r="T5" s="114" t="s">
        <v>339</v>
      </c>
      <c r="U5" s="109" t="s">
        <v>3</v>
      </c>
      <c r="V5" s="109" t="s">
        <v>4</v>
      </c>
      <c r="W5" s="109" t="s">
        <v>5</v>
      </c>
      <c r="X5" s="109" t="s">
        <v>6</v>
      </c>
      <c r="Y5" s="109" t="s">
        <v>7</v>
      </c>
      <c r="Z5" s="109" t="s">
        <v>8</v>
      </c>
      <c r="AA5" s="109" t="s">
        <v>294</v>
      </c>
      <c r="AB5" s="109" t="s">
        <v>295</v>
      </c>
      <c r="AC5" s="109" t="s">
        <v>9</v>
      </c>
      <c r="AD5" s="109" t="s">
        <v>10</v>
      </c>
      <c r="AE5" s="109" t="s">
        <v>11</v>
      </c>
      <c r="AF5" s="109" t="s">
        <v>12</v>
      </c>
      <c r="AG5" s="109" t="s">
        <v>13</v>
      </c>
      <c r="AH5" s="46" t="s">
        <v>76</v>
      </c>
      <c r="AI5" s="109" t="s">
        <v>14</v>
      </c>
      <c r="AJ5" s="112"/>
      <c r="AK5" s="109" t="s">
        <v>5</v>
      </c>
      <c r="AL5" s="109" t="s">
        <v>7</v>
      </c>
      <c r="AM5" s="109" t="s">
        <v>8</v>
      </c>
      <c r="AN5" s="109" t="s">
        <v>9</v>
      </c>
      <c r="AO5" s="109" t="s">
        <v>11</v>
      </c>
      <c r="AP5" s="109" t="s">
        <v>12</v>
      </c>
      <c r="AQ5" s="109" t="s">
        <v>13</v>
      </c>
      <c r="AR5" s="109" t="s">
        <v>14</v>
      </c>
      <c r="AS5" s="112"/>
      <c r="AT5" s="109" t="s">
        <v>5</v>
      </c>
      <c r="AU5" s="109" t="s">
        <v>7</v>
      </c>
      <c r="AV5" s="109" t="s">
        <v>8</v>
      </c>
      <c r="AW5" s="109" t="s">
        <v>9</v>
      </c>
      <c r="AX5" s="109" t="s">
        <v>11</v>
      </c>
      <c r="AY5" s="109" t="s">
        <v>12</v>
      </c>
      <c r="AZ5" s="109" t="s">
        <v>13</v>
      </c>
      <c r="BA5" s="109" t="s">
        <v>14</v>
      </c>
      <c r="BB5" s="112"/>
      <c r="BC5" s="109" t="s">
        <v>3</v>
      </c>
      <c r="BD5" s="109" t="s">
        <v>4</v>
      </c>
      <c r="BE5" s="109" t="s">
        <v>5</v>
      </c>
      <c r="BF5" s="109" t="s">
        <v>6</v>
      </c>
      <c r="BG5" s="109" t="s">
        <v>7</v>
      </c>
      <c r="BH5" s="109" t="s">
        <v>8</v>
      </c>
      <c r="BI5" s="109" t="s">
        <v>294</v>
      </c>
      <c r="BJ5" s="109" t="s">
        <v>295</v>
      </c>
      <c r="BK5" s="109" t="s">
        <v>9</v>
      </c>
      <c r="BL5" s="109" t="s">
        <v>10</v>
      </c>
      <c r="BM5" s="109" t="s">
        <v>11</v>
      </c>
      <c r="BN5" s="109" t="s">
        <v>12</v>
      </c>
      <c r="BO5" s="109" t="s">
        <v>13</v>
      </c>
      <c r="BP5" s="46" t="s">
        <v>76</v>
      </c>
      <c r="BQ5" s="109" t="s">
        <v>14</v>
      </c>
      <c r="BR5" s="109" t="s">
        <v>3</v>
      </c>
      <c r="BS5" s="109" t="s">
        <v>4</v>
      </c>
      <c r="BT5" s="109" t="s">
        <v>5</v>
      </c>
      <c r="BU5" s="109" t="s">
        <v>6</v>
      </c>
      <c r="BV5" s="109" t="s">
        <v>7</v>
      </c>
      <c r="BW5" s="109" t="s">
        <v>8</v>
      </c>
      <c r="BX5" s="109" t="s">
        <v>9</v>
      </c>
      <c r="BY5" s="109" t="s">
        <v>10</v>
      </c>
      <c r="BZ5" s="109" t="s">
        <v>11</v>
      </c>
      <c r="CA5" s="109" t="s">
        <v>12</v>
      </c>
      <c r="CB5" s="109" t="s">
        <v>13</v>
      </c>
      <c r="CC5" s="46" t="s">
        <v>76</v>
      </c>
      <c r="CD5" s="109" t="s">
        <v>14</v>
      </c>
      <c r="CE5" s="112"/>
      <c r="CF5" s="109" t="s">
        <v>3</v>
      </c>
      <c r="CG5" s="109" t="s">
        <v>4</v>
      </c>
      <c r="CH5" s="109" t="s">
        <v>5</v>
      </c>
      <c r="CI5" s="109" t="s">
        <v>6</v>
      </c>
      <c r="CJ5" s="109" t="s">
        <v>7</v>
      </c>
      <c r="CK5" s="109" t="s">
        <v>8</v>
      </c>
      <c r="CL5" s="109" t="s">
        <v>9</v>
      </c>
      <c r="CM5" s="109" t="s">
        <v>10</v>
      </c>
      <c r="CN5" s="109" t="s">
        <v>11</v>
      </c>
      <c r="CO5" s="109" t="s">
        <v>12</v>
      </c>
      <c r="CP5" s="109" t="s">
        <v>13</v>
      </c>
      <c r="CQ5" s="109" t="s">
        <v>182</v>
      </c>
      <c r="CR5" s="109" t="s">
        <v>14</v>
      </c>
      <c r="CS5" s="109" t="s">
        <v>5</v>
      </c>
      <c r="CT5" s="109" t="s">
        <v>7</v>
      </c>
      <c r="CU5" s="109" t="s">
        <v>9</v>
      </c>
      <c r="CV5" s="109" t="s">
        <v>13</v>
      </c>
      <c r="CW5" s="112"/>
      <c r="CX5" s="109" t="s">
        <v>5</v>
      </c>
      <c r="CY5" s="109" t="s">
        <v>7</v>
      </c>
      <c r="CZ5" s="109" t="s">
        <v>8</v>
      </c>
      <c r="DA5" s="109" t="s">
        <v>9</v>
      </c>
      <c r="DB5" s="109" t="s">
        <v>11</v>
      </c>
      <c r="DC5" s="109" t="s">
        <v>12</v>
      </c>
      <c r="DD5" s="109" t="s">
        <v>13</v>
      </c>
      <c r="DE5" s="109" t="s">
        <v>182</v>
      </c>
      <c r="DF5" s="109" t="s">
        <v>14</v>
      </c>
      <c r="DH5" s="106" t="s">
        <v>29</v>
      </c>
      <c r="DI5" s="106" t="s">
        <v>30</v>
      </c>
      <c r="DJ5" s="46" t="s">
        <v>31</v>
      </c>
      <c r="DK5" s="46" t="s">
        <v>212</v>
      </c>
      <c r="DL5" s="46" t="s">
        <v>213</v>
      </c>
      <c r="DM5" s="46" t="s">
        <v>286</v>
      </c>
      <c r="DN5" s="46" t="s">
        <v>287</v>
      </c>
      <c r="DO5" s="46" t="s">
        <v>288</v>
      </c>
      <c r="DQ5" s="46" t="s">
        <v>214</v>
      </c>
      <c r="DR5" s="46" t="s">
        <v>214</v>
      </c>
      <c r="DS5" s="106" t="s">
        <v>32</v>
      </c>
      <c r="DT5" s="106" t="s">
        <v>33</v>
      </c>
      <c r="DU5" s="46" t="s">
        <v>34</v>
      </c>
      <c r="DV5" s="106" t="s">
        <v>35</v>
      </c>
      <c r="DW5" s="46" t="s">
        <v>36</v>
      </c>
      <c r="DX5" s="46" t="s">
        <v>37</v>
      </c>
      <c r="DY5" s="46" t="s">
        <v>115</v>
      </c>
      <c r="DZ5" s="46" t="s">
        <v>116</v>
      </c>
      <c r="EA5" s="46" t="s">
        <v>183</v>
      </c>
      <c r="EB5" s="46" t="s">
        <v>38</v>
      </c>
      <c r="EC5" s="46" t="s">
        <v>189</v>
      </c>
      <c r="ED5" s="46" t="s">
        <v>39</v>
      </c>
      <c r="EE5" s="46" t="s">
        <v>190</v>
      </c>
      <c r="EF5" s="46" t="s">
        <v>40</v>
      </c>
      <c r="EG5" s="46" t="s">
        <v>185</v>
      </c>
      <c r="EH5" s="46" t="s">
        <v>41</v>
      </c>
      <c r="EI5" s="46" t="s">
        <v>191</v>
      </c>
      <c r="EJ5" s="46" t="s">
        <v>42</v>
      </c>
      <c r="EK5" s="46" t="s">
        <v>192</v>
      </c>
      <c r="EL5" s="46" t="s">
        <v>43</v>
      </c>
      <c r="EM5" s="46" t="s">
        <v>184</v>
      </c>
      <c r="EO5" s="46" t="s">
        <v>76</v>
      </c>
      <c r="EP5" s="46" t="s">
        <v>77</v>
      </c>
      <c r="EQ5" s="46" t="s">
        <v>17</v>
      </c>
      <c r="ER5" s="46" t="s">
        <v>9</v>
      </c>
      <c r="ES5" s="46" t="s">
        <v>78</v>
      </c>
      <c r="ET5" s="46" t="s">
        <v>304</v>
      </c>
      <c r="EU5" s="115" t="s">
        <v>63</v>
      </c>
      <c r="EV5" s="115" t="s">
        <v>65</v>
      </c>
      <c r="EW5" s="116" t="s">
        <v>59</v>
      </c>
      <c r="EX5" s="116" t="s">
        <v>285</v>
      </c>
      <c r="EY5" s="51" t="s">
        <v>340</v>
      </c>
      <c r="EZ5" s="117" t="s">
        <v>341</v>
      </c>
      <c r="FA5" s="117" t="s">
        <v>87</v>
      </c>
      <c r="FB5" s="117" t="s">
        <v>87</v>
      </c>
      <c r="FC5" s="115" t="s">
        <v>85</v>
      </c>
      <c r="FD5" s="115" t="s">
        <v>89</v>
      </c>
      <c r="FE5" s="51" t="s">
        <v>76</v>
      </c>
      <c r="FF5" s="51" t="s">
        <v>77</v>
      </c>
      <c r="FG5" s="51" t="s">
        <v>17</v>
      </c>
      <c r="FH5" s="51" t="s">
        <v>9</v>
      </c>
      <c r="FI5" s="51" t="s">
        <v>78</v>
      </c>
      <c r="FJ5" s="51" t="s">
        <v>71</v>
      </c>
      <c r="FK5" s="51" t="s">
        <v>92</v>
      </c>
      <c r="FL5" s="51" t="s">
        <v>76</v>
      </c>
      <c r="FM5" s="51" t="s">
        <v>77</v>
      </c>
      <c r="FN5" s="51" t="s">
        <v>17</v>
      </c>
      <c r="FO5" s="51" t="s">
        <v>9</v>
      </c>
      <c r="FP5" s="51" t="s">
        <v>78</v>
      </c>
      <c r="FQ5" s="115"/>
      <c r="FR5" s="75" t="s">
        <v>253</v>
      </c>
      <c r="FS5" s="75" t="s">
        <v>254</v>
      </c>
      <c r="FT5" s="75" t="s">
        <v>255</v>
      </c>
      <c r="FU5" s="75" t="s">
        <v>256</v>
      </c>
      <c r="FV5" s="76" t="s">
        <v>257</v>
      </c>
      <c r="FW5" s="76" t="s">
        <v>258</v>
      </c>
    </row>
    <row r="6" spans="1:179" ht="12.75">
      <c r="A6" s="118">
        <v>83.33333333333333</v>
      </c>
      <c r="B6" s="80">
        <v>20</v>
      </c>
      <c r="C6" s="80">
        <v>230</v>
      </c>
      <c r="D6" s="79" t="s">
        <v>121</v>
      </c>
      <c r="E6" s="119">
        <v>1</v>
      </c>
      <c r="F6" s="120">
        <v>36472.67847222222</v>
      </c>
      <c r="G6" s="120">
        <v>36473.677083333336</v>
      </c>
      <c r="H6" s="119"/>
      <c r="I6" s="81">
        <v>50.38333333333333</v>
      </c>
      <c r="J6" s="46">
        <v>-0.6666666666666666</v>
      </c>
      <c r="K6" s="81">
        <v>46.766666666666666</v>
      </c>
      <c r="L6" s="46">
        <v>-7.183333333333334</v>
      </c>
      <c r="M6" s="106">
        <v>3.6983783783783784</v>
      </c>
      <c r="N6" s="106">
        <v>3.4657142857142857</v>
      </c>
      <c r="O6" s="106">
        <v>0.6880708933270024</v>
      </c>
      <c r="P6" s="106">
        <v>0.6880708933270024</v>
      </c>
      <c r="Q6" s="106"/>
      <c r="R6" s="153">
        <v>24.0146000000661</v>
      </c>
      <c r="S6" s="106"/>
      <c r="T6" s="106">
        <f aca="true" t="shared" si="0" ref="T6:T27">(SUM(U6:X6)+SUM(Z6:AF6,AH6:AI6)+DK6+DS6+DY6)/1000</f>
        <v>4.146127169994874</v>
      </c>
      <c r="U6" s="106">
        <v>17.46789981408762</v>
      </c>
      <c r="V6" s="106">
        <v>1.5294534765485828</v>
      </c>
      <c r="W6" s="106">
        <v>2.318271817559743</v>
      </c>
      <c r="X6" s="106">
        <v>0</v>
      </c>
      <c r="Y6" s="106">
        <v>322.86650560884175</v>
      </c>
      <c r="Z6" s="106">
        <v>1.2621145930172533</v>
      </c>
      <c r="AA6" s="106">
        <f aca="true" t="shared" si="1" ref="AA6:AA27">AA$3*DH6</f>
        <v>1.7969684842897644</v>
      </c>
      <c r="AB6" s="106">
        <f>100*(AA6-Z6)/AA6</f>
        <v>29.76423325998994</v>
      </c>
      <c r="AC6" s="106">
        <v>142.82306490081461</v>
      </c>
      <c r="AD6" s="106">
        <v>3.554761386119209</v>
      </c>
      <c r="AE6" s="106">
        <v>5.139941845316979</v>
      </c>
      <c r="AF6" s="106">
        <v>0.4851200454895096</v>
      </c>
      <c r="AG6" s="106">
        <v>2834.2841936944765</v>
      </c>
      <c r="AH6" s="46">
        <f aca="true" t="shared" si="2" ref="AH6:AH27">AG6-0.2519*$DH6</f>
        <v>2761.358871504449</v>
      </c>
      <c r="AI6" s="106">
        <v>21.145372826945287</v>
      </c>
      <c r="AJ6" s="108"/>
      <c r="AL6" s="106">
        <v>105.57165077136449</v>
      </c>
      <c r="AM6" s="106">
        <v>0</v>
      </c>
      <c r="AN6" s="106">
        <v>324.3689078968798</v>
      </c>
      <c r="AO6" s="106">
        <v>3.1383970087092057</v>
      </c>
      <c r="AP6" s="106">
        <v>0</v>
      </c>
      <c r="AQ6" s="106">
        <v>54.316002727203696</v>
      </c>
      <c r="AR6" s="106">
        <v>0.6594925369456155</v>
      </c>
      <c r="AS6" s="108"/>
      <c r="AT6" s="106">
        <f>W6+AK6</f>
        <v>2.318271817559743</v>
      </c>
      <c r="AU6" s="106">
        <v>428.43815638020624</v>
      </c>
      <c r="AV6" s="106">
        <v>1.2621145930172533</v>
      </c>
      <c r="AW6" s="106">
        <v>467.19197279769446</v>
      </c>
      <c r="AX6" s="106">
        <v>8.278338854026185</v>
      </c>
      <c r="AY6" s="106">
        <v>0.4851200454895096</v>
      </c>
      <c r="AZ6" s="106">
        <v>2888.6001964216803</v>
      </c>
      <c r="BA6" s="106">
        <v>21.804865363890904</v>
      </c>
      <c r="BB6" s="108"/>
      <c r="BC6" s="106">
        <v>14.322330441285215</v>
      </c>
      <c r="BD6" s="106">
        <v>-0.1529453476548583</v>
      </c>
      <c r="BE6" s="106">
        <v>-0.23182718175597433</v>
      </c>
      <c r="BF6" s="106">
        <v>0</v>
      </c>
      <c r="BG6" s="106">
        <v>3824.2139625535956</v>
      </c>
      <c r="BH6" s="106">
        <v>-0.12621145930172534</v>
      </c>
      <c r="BI6" s="106">
        <f>BI$2*DI6</f>
        <v>15.00476763360468</v>
      </c>
      <c r="BJ6" s="106">
        <f>100*(BI6-BH6)/BI6</f>
        <v>100.8411423781003</v>
      </c>
      <c r="BK6" s="106">
        <v>1134.1153937678023</v>
      </c>
      <c r="BL6" s="106">
        <v>-0.35547613861192096</v>
      </c>
      <c r="BM6" s="106">
        <v>1.8204741274470855</v>
      </c>
      <c r="BN6" s="106">
        <v>-0.048512004548950965</v>
      </c>
      <c r="BO6" s="106">
        <v>1690.9731915295029</v>
      </c>
      <c r="BP6" s="121">
        <f>BO6-0.2519*$DI6</f>
        <v>1082.0434725981206</v>
      </c>
      <c r="BQ6" s="106">
        <v>3.532305994180746</v>
      </c>
      <c r="BR6" s="106">
        <f aca="true" t="shared" si="3" ref="BR6:BW6">BC6-0.1*U6</f>
        <v>12.575540459876454</v>
      </c>
      <c r="BS6" s="106">
        <f t="shared" si="3"/>
        <v>-0.3058906953097166</v>
      </c>
      <c r="BT6" s="106">
        <f t="shared" si="3"/>
        <v>-0.46365436351194866</v>
      </c>
      <c r="BU6" s="106">
        <f t="shared" si="3"/>
        <v>0</v>
      </c>
      <c r="BV6" s="106">
        <f t="shared" si="3"/>
        <v>3791.9273119927116</v>
      </c>
      <c r="BW6" s="106">
        <f t="shared" si="3"/>
        <v>-0.2524229186034507</v>
      </c>
      <c r="BX6" s="106">
        <f>BK6-0.1*AC6</f>
        <v>1119.8330872777208</v>
      </c>
      <c r="BY6" s="106">
        <f>BL6-0.1*AD6</f>
        <v>-0.7109522772238419</v>
      </c>
      <c r="BZ6" s="106">
        <f>BM6-0.1*AE6</f>
        <v>1.3064799429153875</v>
      </c>
      <c r="CA6" s="106">
        <f>BN6-0.1*AF6</f>
        <v>-0.09702400909790193</v>
      </c>
      <c r="CB6" s="106">
        <f>BO6-0.1*AG6</f>
        <v>1407.5447721600551</v>
      </c>
      <c r="CC6" s="106"/>
      <c r="CD6" s="106">
        <f>BQ6-0.1*AI6</f>
        <v>1.4177687114862172</v>
      </c>
      <c r="CE6" s="108"/>
      <c r="CF6" s="106">
        <v>31.79023025537283</v>
      </c>
      <c r="CG6" s="106">
        <v>1.3765081288937242</v>
      </c>
      <c r="CH6" s="106">
        <f aca="true" t="shared" si="4" ref="CH6:CH27">IF(W6&gt;0,W6,0)+IF(BE6&gt;0,BE6,0)</f>
        <v>2.318271817559743</v>
      </c>
      <c r="CI6" s="106">
        <f aca="true" t="shared" si="5" ref="CI6:CI27">X6+BF6</f>
        <v>0</v>
      </c>
      <c r="CJ6" s="106">
        <f aca="true" t="shared" si="6" ref="CJ6:CJ27">Y6+BG6</f>
        <v>4147.080468162438</v>
      </c>
      <c r="CK6" s="106">
        <f aca="true" t="shared" si="7" ref="CK6:CK27">IF(Z6&gt;0,Z6,0)+IF(BH6&gt;0,BH6,0)</f>
        <v>1.2621145930172533</v>
      </c>
      <c r="CL6" s="106">
        <f aca="true" t="shared" si="8" ref="CL6:CL27">IF(AC6&gt;0,AC6,0)+IF(BK6&gt;0,BK6,0)</f>
        <v>1276.938458668617</v>
      </c>
      <c r="CM6" s="106">
        <f aca="true" t="shared" si="9" ref="CM6:CM27">AD6+BL6</f>
        <v>3.199285247507288</v>
      </c>
      <c r="CN6" s="106">
        <f aca="true" t="shared" si="10" ref="CN6:CN27">AE6+BM6</f>
        <v>6.960415972764065</v>
      </c>
      <c r="CO6" s="106">
        <f aca="true" t="shared" si="11" ref="CO6:CO27">AF6+BN6</f>
        <v>0.4366080409405586</v>
      </c>
      <c r="CP6" s="106">
        <f aca="true" t="shared" si="12" ref="CP6:CP27">AG6+IF(BO6&gt;0,BO6,0)</f>
        <v>4525.257385223979</v>
      </c>
      <c r="CQ6" s="121">
        <f aca="true" t="shared" si="13" ref="CQ6:CQ27">CP6-0.2519*$DJ6</f>
        <v>3843.4023441025693</v>
      </c>
      <c r="CR6" s="106">
        <f aca="true" t="shared" si="14" ref="CR6:CR27">AI6+BQ6</f>
        <v>24.677678821126033</v>
      </c>
      <c r="CS6" s="106"/>
      <c r="CT6" s="106"/>
      <c r="CU6" s="106"/>
      <c r="CV6" s="106"/>
      <c r="CW6" s="108"/>
      <c r="CX6" s="121">
        <f aca="true" t="shared" si="15" ref="CX6:CX27">W6+AK6+IF(BE6&gt;0,BE6,0)</f>
        <v>2.318271817559743</v>
      </c>
      <c r="CY6" s="106">
        <v>4252.652118933802</v>
      </c>
      <c r="CZ6" s="106">
        <v>1.1359031337155279</v>
      </c>
      <c r="DA6" s="106">
        <v>1601.3073665654967</v>
      </c>
      <c r="DB6" s="106">
        <v>10.09881298147327</v>
      </c>
      <c r="DC6" s="106">
        <v>0.4366080409405586</v>
      </c>
      <c r="DD6" s="106">
        <v>4579.573387951183</v>
      </c>
      <c r="DE6" s="46">
        <f aca="true" t="shared" si="16" ref="DE6:DE27">DD6-0.2519*$DJ6</f>
        <v>3897.7183468297726</v>
      </c>
      <c r="DF6" s="106">
        <v>25.33717135807165</v>
      </c>
      <c r="DH6" s="121">
        <v>289.5010805479457</v>
      </c>
      <c r="DI6" s="121">
        <v>2417.3470382349433</v>
      </c>
      <c r="DJ6" s="121">
        <v>2706.8481187828893</v>
      </c>
      <c r="DK6" s="121">
        <f>Y6+1.47*DH6</f>
        <v>748.433094014322</v>
      </c>
      <c r="DL6" s="121">
        <f>BG6+1.47*DI6</f>
        <v>7377.7141087589625</v>
      </c>
      <c r="DM6" s="121"/>
      <c r="DN6" s="121"/>
      <c r="DO6" s="121"/>
      <c r="DP6" s="121"/>
      <c r="DQ6" s="121">
        <f>DK6+DL6</f>
        <v>8126.147202773284</v>
      </c>
      <c r="DR6" s="121">
        <f>DQ6/1000</f>
        <v>8.126147202773284</v>
      </c>
      <c r="DS6" s="121">
        <v>407.6023719589449</v>
      </c>
      <c r="DT6" s="121">
        <v>-36.06641618035854</v>
      </c>
      <c r="DU6" s="121">
        <v>407.6023719589449</v>
      </c>
      <c r="DV6" s="121">
        <v>12.330870695582243</v>
      </c>
      <c r="DW6" s="121">
        <v>-1.2330870695582243</v>
      </c>
      <c r="DX6" s="121">
        <v>12.330870695582243</v>
      </c>
      <c r="DY6" s="122">
        <f aca="true" t="shared" si="17" ref="DY6:DY27">DV6-0.0376*DH6</f>
        <v>1.4456300669794846</v>
      </c>
      <c r="DZ6" s="122">
        <f aca="true" t="shared" si="18" ref="DZ6:DZ27">DW6-0.0376*DI6</f>
        <v>-92.1253357071921</v>
      </c>
      <c r="EA6" s="121">
        <f>IF(DY6&gt;0,DY6,0)+IF(DZ6&gt;0,DZ6,0)</f>
        <v>1.4456300669794846</v>
      </c>
      <c r="EB6" s="121">
        <v>11.904978038963414</v>
      </c>
      <c r="EC6" s="121">
        <f>EB6-EC$4*$DH6</f>
        <v>-22.835151626790072</v>
      </c>
      <c r="ED6" s="121">
        <v>158.4740854524642</v>
      </c>
      <c r="EE6" s="121">
        <f>ED6-EE$4*$DI6</f>
        <v>-131.60755913572896</v>
      </c>
      <c r="EF6" s="121">
        <v>170.37906349142762</v>
      </c>
      <c r="EG6" s="121"/>
      <c r="EH6" s="121">
        <v>0</v>
      </c>
      <c r="EI6" s="121">
        <f>EH6-EI$4*$DH6</f>
        <v>-11.056059365722453</v>
      </c>
      <c r="EJ6" s="121">
        <v>0</v>
      </c>
      <c r="EK6" s="121">
        <f>EJ6-EK$4*$DI6</f>
        <v>-92.3185927724114</v>
      </c>
      <c r="EL6" s="121">
        <v>0</v>
      </c>
      <c r="EM6" s="121"/>
      <c r="EO6" s="46">
        <f aca="true" t="shared" si="19" ref="EO6:EO27">AG6-0.2519*$DH6</f>
        <v>2761.358871504449</v>
      </c>
      <c r="EP6" s="46">
        <f aca="true" t="shared" si="20" ref="EP6:EP27">1.45*DH6+Y6</f>
        <v>742.643072403363</v>
      </c>
      <c r="EQ6" s="121">
        <f>DS6</f>
        <v>407.6023719589449</v>
      </c>
      <c r="ER6" s="106">
        <f>AC6</f>
        <v>142.82306490081461</v>
      </c>
      <c r="ES6" s="106">
        <f>U6+V6+W6+X6+Z6+AD6+AE6+AF6+AI6</f>
        <v>52.902935805084184</v>
      </c>
      <c r="ET6" s="106"/>
      <c r="EU6" s="123">
        <v>178.6198804300964</v>
      </c>
      <c r="EV6" s="123">
        <v>1670.8513955812252</v>
      </c>
      <c r="EW6" s="123"/>
      <c r="EX6" s="123"/>
      <c r="EY6" s="124">
        <f aca="true" t="shared" si="21" ref="EY6:EY27">M6</f>
        <v>3.6983783783783784</v>
      </c>
      <c r="EZ6" s="124">
        <f>1.7*EY6</f>
        <v>6.2872432432432435</v>
      </c>
      <c r="FA6" s="124">
        <f aca="true" t="shared" si="22" ref="FA6:FA27">SUM(EO6:EV6)/1000</f>
        <v>5.956801592583977</v>
      </c>
      <c r="FB6" s="121">
        <f aca="true" t="shared" si="23" ref="FB6:FB27">SUM(EO6:EU6)/1000</f>
        <v>4.2859501970027525</v>
      </c>
      <c r="FC6" s="109">
        <f aca="true" t="shared" si="24" ref="FC6:FC27">FA6/EY6</f>
        <v>1.610652286799234</v>
      </c>
      <c r="FD6" s="109">
        <f aca="true" t="shared" si="25" ref="FD6:FD27">FB6/EY6</f>
        <v>1.1588728243868887</v>
      </c>
      <c r="FE6" s="109">
        <f aca="true" t="shared" si="26" ref="FE6:FE27">100*(EO6/1000)/$FA6</f>
        <v>46.356401645847164</v>
      </c>
      <c r="FF6" s="109">
        <f aca="true" t="shared" si="27" ref="FF6:FF27">100*(EP6/1000)/$FA6</f>
        <v>12.467144672535834</v>
      </c>
      <c r="FG6" s="109">
        <f aca="true" t="shared" si="28" ref="FG6:FG27">100*(EQ6/1000)/$FA6</f>
        <v>6.842638043650749</v>
      </c>
      <c r="FH6" s="109">
        <f aca="true" t="shared" si="29" ref="FH6:FH27">100*(ER6/1000)/$FA6</f>
        <v>2.3976468358225103</v>
      </c>
      <c r="FI6" s="109">
        <f aca="true" t="shared" si="30" ref="FI6:FI27">100*(ES6/1000)/$FA6</f>
        <v>0.8881097512286897</v>
      </c>
      <c r="FJ6" s="109">
        <f aca="true" t="shared" si="31" ref="FJ6:FJ27">100*(EU6/1000)/$FA6</f>
        <v>2.998587037924384</v>
      </c>
      <c r="FK6" s="109">
        <f aca="true" t="shared" si="32" ref="FK6:FK27">100*(EV6/1000)/$FA6</f>
        <v>28.04947201299067</v>
      </c>
      <c r="FL6" s="109">
        <f aca="true" t="shared" si="33" ref="FL6:FL27">100*(EO6/1000)/$FB6</f>
        <v>64.42816049135429</v>
      </c>
      <c r="FM6" s="109">
        <f aca="true" t="shared" si="34" ref="FM6:FM27">100*(EP6/1000)/$FB6</f>
        <v>17.327384553434793</v>
      </c>
      <c r="FN6" s="109">
        <f aca="true" t="shared" si="35" ref="FN6:FN27">100*(EQ6/1000)/$FB6</f>
        <v>9.510198514298862</v>
      </c>
      <c r="FO6" s="109">
        <f aca="true" t="shared" si="36" ref="FO6:FO27">100*(ER6/1000)/$FB6</f>
        <v>3.3323547483284695</v>
      </c>
      <c r="FP6" s="109">
        <f aca="true" t="shared" si="37" ref="FP6:FP27">100*(ES6/1000)/$FB6</f>
        <v>1.2343338903489878</v>
      </c>
      <c r="FQ6" s="123"/>
      <c r="FR6" s="121">
        <f>(AG6/48)+(AC6/62)+(Y6/35.5)+(W6/95)</f>
        <v>70.47041919476432</v>
      </c>
      <c r="FS6" s="121">
        <f>(BO6/48)+(BK6/62)+(BG6/35.5)+(BE6/95)</f>
        <v>161.24268861453007</v>
      </c>
      <c r="FT6" s="106">
        <f aca="true" t="shared" si="38" ref="FT6:FT27">(DS6/18)+(DH6/23)+(DV6/39)+(EB6/12.5)+(EH6/20)</f>
        <v>36.500154136824655</v>
      </c>
      <c r="FU6" s="106">
        <f aca="true" t="shared" si="39" ref="FU6:FU27">(DT6/18)+(DI6/23)+(DW6/39)+(ED6/12.5)+(EJ6/20)</f>
        <v>115.74466457188097</v>
      </c>
      <c r="FV6" s="106">
        <f>FT6/FR6</f>
        <v>0.5179500073065618</v>
      </c>
      <c r="FW6" s="106">
        <f>FU6/FS6</f>
        <v>0.7178289171832308</v>
      </c>
    </row>
    <row r="7" spans="1:179" ht="12.75">
      <c r="A7" s="80">
        <v>250</v>
      </c>
      <c r="B7" s="80">
        <v>175</v>
      </c>
      <c r="C7" s="80">
        <v>380</v>
      </c>
      <c r="D7" s="79" t="s">
        <v>122</v>
      </c>
      <c r="E7" s="119">
        <v>1</v>
      </c>
      <c r="F7" s="120">
        <v>36474.71875</v>
      </c>
      <c r="G7" s="120">
        <v>36475.70138888889</v>
      </c>
      <c r="H7" s="119"/>
      <c r="I7" s="81">
        <v>41.43333333333333</v>
      </c>
      <c r="J7" s="46">
        <v>-10.883333333333333</v>
      </c>
      <c r="K7" s="81">
        <v>35.516666666666666</v>
      </c>
      <c r="L7" s="46">
        <v>-13.066666666666666</v>
      </c>
      <c r="M7" s="106">
        <v>4.60093023255814</v>
      </c>
      <c r="N7" s="106">
        <v>4.384736842105266</v>
      </c>
      <c r="O7" s="106">
        <v>0.47104517914590976</v>
      </c>
      <c r="P7" s="106">
        <v>0.47745181586851515</v>
      </c>
      <c r="Q7" s="106"/>
      <c r="R7" s="153">
        <v>23.630500000038882</v>
      </c>
      <c r="S7" s="106"/>
      <c r="T7" s="106">
        <f t="shared" si="0"/>
        <v>5.429008989650214</v>
      </c>
      <c r="U7" s="106">
        <v>26.244250219841618</v>
      </c>
      <c r="V7" s="106">
        <v>4.9981524476158325</v>
      </c>
      <c r="W7" s="106">
        <v>4.719197971122347</v>
      </c>
      <c r="X7" s="106">
        <v>0</v>
      </c>
      <c r="Y7" s="106">
        <v>167.48638168882624</v>
      </c>
      <c r="Z7" s="106">
        <v>2.112107779255439</v>
      </c>
      <c r="AA7" s="106">
        <f t="shared" si="1"/>
        <v>1.5441497824119483</v>
      </c>
      <c r="AB7" s="106">
        <f aca="true" t="shared" si="40" ref="AB7:AB27">100*(AA7-Z7)/AA7</f>
        <v>-36.781276228031786</v>
      </c>
      <c r="AC7" s="106">
        <v>151.40766273970743</v>
      </c>
      <c r="AD7" s="106">
        <v>13.350639968333429</v>
      </c>
      <c r="AE7" s="106">
        <v>18.431726938554224</v>
      </c>
      <c r="AF7" s="106">
        <v>14.992086223758625</v>
      </c>
      <c r="AG7" s="106">
        <v>3935.626671991082</v>
      </c>
      <c r="AH7" s="46">
        <f t="shared" si="2"/>
        <v>3872.961343480015</v>
      </c>
      <c r="AI7" s="106">
        <v>104.77072494203847</v>
      </c>
      <c r="AJ7" s="108"/>
      <c r="AL7" s="106">
        <v>100.8756862343797</v>
      </c>
      <c r="AM7" s="106">
        <v>0</v>
      </c>
      <c r="AN7" s="106">
        <v>136.74900490829324</v>
      </c>
      <c r="AO7" s="106">
        <v>6.345377560533959</v>
      </c>
      <c r="AP7" s="106">
        <v>5.423781412431213</v>
      </c>
      <c r="AQ7" s="106">
        <v>116.95702595504275</v>
      </c>
      <c r="AR7" s="106">
        <v>2.014017680066464</v>
      </c>
      <c r="AS7" s="108"/>
      <c r="AT7" s="106">
        <f aca="true" t="shared" si="41" ref="AT7:AT27">W7+AK7</f>
        <v>4.719197971122347</v>
      </c>
      <c r="AU7" s="106">
        <v>268.3620679232059</v>
      </c>
      <c r="AV7" s="106">
        <v>2.112107779255439</v>
      </c>
      <c r="AW7" s="106">
        <v>288.1566676480007</v>
      </c>
      <c r="AX7" s="106">
        <v>24.777104499088182</v>
      </c>
      <c r="AY7" s="106">
        <v>20.415867636189837</v>
      </c>
      <c r="AZ7" s="106">
        <v>4052.5836979461246</v>
      </c>
      <c r="BA7" s="106">
        <v>106.78474262210493</v>
      </c>
      <c r="BB7" s="108"/>
      <c r="BC7" s="106">
        <v>21.50608454924585</v>
      </c>
      <c r="BD7" s="106">
        <v>-0.4998152447615833</v>
      </c>
      <c r="BE7" s="106">
        <v>-0.47191979711223475</v>
      </c>
      <c r="BF7" s="106">
        <v>0</v>
      </c>
      <c r="BG7" s="106">
        <v>3169.9715850269868</v>
      </c>
      <c r="BH7" s="106">
        <v>-0.21121077792554388</v>
      </c>
      <c r="BI7" s="106">
        <f aca="true" t="shared" si="42" ref="BI7:BI27">BI$2*DI7</f>
        <v>13.53060627203578</v>
      </c>
      <c r="BJ7" s="106">
        <f aca="true" t="shared" si="43" ref="BJ7:BJ27">100*(BI7-BH7)/BI7</f>
        <v>101.56098532230638</v>
      </c>
      <c r="BK7" s="106">
        <v>1506.5242655061322</v>
      </c>
      <c r="BL7" s="106">
        <v>7.277694517783999</v>
      </c>
      <c r="BM7" s="106">
        <v>5.383742581941492</v>
      </c>
      <c r="BN7" s="106">
        <v>13.4162087746077</v>
      </c>
      <c r="BO7" s="106">
        <v>998.1318913701278</v>
      </c>
      <c r="BP7" s="121">
        <f>BO7-0.2519*$DI7</f>
        <v>449.0272017547114</v>
      </c>
      <c r="BQ7" s="106">
        <v>8.482362712900747</v>
      </c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8"/>
      <c r="CF7" s="106">
        <v>47.75033476908746</v>
      </c>
      <c r="CG7" s="106">
        <v>4.498337202854249</v>
      </c>
      <c r="CH7" s="106">
        <f t="shared" si="4"/>
        <v>4.719197971122347</v>
      </c>
      <c r="CI7" s="106">
        <f t="shared" si="5"/>
        <v>0</v>
      </c>
      <c r="CJ7" s="106">
        <f t="shared" si="6"/>
        <v>3337.457966715813</v>
      </c>
      <c r="CK7" s="106">
        <f t="shared" si="7"/>
        <v>2.112107779255439</v>
      </c>
      <c r="CL7" s="106">
        <f t="shared" si="8"/>
        <v>1657.9319282458396</v>
      </c>
      <c r="CM7" s="106">
        <f t="shared" si="9"/>
        <v>20.628334486117428</v>
      </c>
      <c r="CN7" s="106">
        <f t="shared" si="10"/>
        <v>23.815469520495718</v>
      </c>
      <c r="CO7" s="106">
        <f t="shared" si="11"/>
        <v>28.408294998366323</v>
      </c>
      <c r="CP7" s="106">
        <f t="shared" si="12"/>
        <v>4933.75856336121</v>
      </c>
      <c r="CQ7" s="121">
        <f t="shared" si="13"/>
        <v>4321.988545234726</v>
      </c>
      <c r="CR7" s="106">
        <f t="shared" si="14"/>
        <v>113.25308765493922</v>
      </c>
      <c r="CS7" s="106"/>
      <c r="CT7" s="106"/>
      <c r="CU7" s="106"/>
      <c r="CV7" s="106"/>
      <c r="CW7" s="108"/>
      <c r="CX7" s="121">
        <f t="shared" si="15"/>
        <v>4.719197971122347</v>
      </c>
      <c r="CY7" s="106">
        <v>3438.3336529501926</v>
      </c>
      <c r="CZ7" s="106">
        <v>1.900897001329895</v>
      </c>
      <c r="DA7" s="106">
        <v>1794.6809331541328</v>
      </c>
      <c r="DB7" s="106">
        <v>30.160847081029672</v>
      </c>
      <c r="DC7" s="106">
        <v>33.83207641079754</v>
      </c>
      <c r="DD7" s="106">
        <v>5050.715589316253</v>
      </c>
      <c r="DE7" s="46">
        <f t="shared" si="16"/>
        <v>4438.945571189769</v>
      </c>
      <c r="DF7" s="106">
        <v>115.26710533500568</v>
      </c>
      <c r="DH7" s="121">
        <v>248.77065705068284</v>
      </c>
      <c r="DI7" s="121">
        <v>2179.851884142185</v>
      </c>
      <c r="DJ7" s="121">
        <v>2428.622541192868</v>
      </c>
      <c r="DK7" s="121">
        <f aca="true" t="shared" si="44" ref="DK7:DK27">Y7+1.47*DH7</f>
        <v>533.17924755333</v>
      </c>
      <c r="DL7" s="121">
        <f aca="true" t="shared" si="45" ref="DL7:DL27">BG7+1.47*DI7</f>
        <v>6374.353854715999</v>
      </c>
      <c r="DM7" s="121"/>
      <c r="DN7" s="121"/>
      <c r="DO7" s="121"/>
      <c r="DP7" s="121"/>
      <c r="DQ7" s="121">
        <f aca="true" t="shared" si="46" ref="DQ7:DQ27">DK7+DL7</f>
        <v>6907.533102269329</v>
      </c>
      <c r="DR7" s="121">
        <f aca="true" t="shared" si="47" ref="DR7:DR27">DQ7/1000</f>
        <v>6.907533102269329</v>
      </c>
      <c r="DS7" s="121">
        <v>704.601027837392</v>
      </c>
      <c r="DT7" s="121">
        <v>-70.2427962462139</v>
      </c>
      <c r="DU7" s="121">
        <v>704.601027837392</v>
      </c>
      <c r="DV7" s="121">
        <v>21.83172469997513</v>
      </c>
      <c r="DW7" s="121">
        <v>-2.1831724699975132</v>
      </c>
      <c r="DX7" s="121">
        <v>21.83172469997513</v>
      </c>
      <c r="DY7" s="122">
        <f t="shared" si="17"/>
        <v>12.477947994869455</v>
      </c>
      <c r="DZ7" s="122">
        <f t="shared" si="18"/>
        <v>-84.14560331374368</v>
      </c>
      <c r="EA7" s="121">
        <f aca="true" t="shared" si="48" ref="EA7:EA27">IF(DY7&gt;0,DY7,0)+IF(DZ7&gt;0,DZ7,0)</f>
        <v>12.477947994869455</v>
      </c>
      <c r="EB7" s="121">
        <v>7.8744313910917585</v>
      </c>
      <c r="EC7" s="121">
        <f aca="true" t="shared" si="49" ref="EC7:EC27">EB7-EC$4*$DH7</f>
        <v>-21.978047454990183</v>
      </c>
      <c r="ED7" s="121">
        <v>143.24441732567783</v>
      </c>
      <c r="EE7" s="121">
        <f aca="true" t="shared" si="50" ref="EE7:EE27">ED7-EE$4*$DI7</f>
        <v>-118.33780877138435</v>
      </c>
      <c r="EF7" s="121">
        <v>151.11884871676958</v>
      </c>
      <c r="EG7" s="121"/>
      <c r="EH7" s="121">
        <v>0</v>
      </c>
      <c r="EI7" s="121">
        <f aca="true" t="shared" si="51" ref="EI7:EI27">EH7-EI$4*$DH7</f>
        <v>-9.500562649356395</v>
      </c>
      <c r="EJ7" s="121">
        <v>0</v>
      </c>
      <c r="EK7" s="121">
        <f aca="true" t="shared" si="52" ref="EK7:EK27">EJ7-EK$4*$DI7</f>
        <v>-83.24864209122191</v>
      </c>
      <c r="EL7" s="121">
        <v>0</v>
      </c>
      <c r="EM7" s="121"/>
      <c r="EO7" s="46">
        <f t="shared" si="19"/>
        <v>3872.961343480015</v>
      </c>
      <c r="EP7" s="46">
        <f t="shared" si="20"/>
        <v>528.2038344123164</v>
      </c>
      <c r="EQ7" s="121">
        <f>DS7</f>
        <v>704.601027837392</v>
      </c>
      <c r="ER7" s="106">
        <f>AC7</f>
        <v>151.40766273970743</v>
      </c>
      <c r="ES7" s="106">
        <f>U7+V7+W7+X7+Z7+AD7+AE7+AF7+AI7</f>
        <v>189.61888649051997</v>
      </c>
      <c r="ET7" s="106"/>
      <c r="EU7" s="123">
        <v>174.35169691372448</v>
      </c>
      <c r="EV7" s="123">
        <v>1853.273540644819</v>
      </c>
      <c r="EW7" s="123"/>
      <c r="EX7" s="123"/>
      <c r="EY7" s="124">
        <f t="shared" si="21"/>
        <v>4.60093023255814</v>
      </c>
      <c r="EZ7" s="124">
        <f aca="true" t="shared" si="53" ref="EZ7:EZ27">1.7*EY7</f>
        <v>7.821581395348837</v>
      </c>
      <c r="FA7" s="124">
        <f t="shared" si="22"/>
        <v>7.474417992518495</v>
      </c>
      <c r="FB7" s="121">
        <f t="shared" si="23"/>
        <v>5.6211444518736755</v>
      </c>
      <c r="FC7" s="109">
        <f t="shared" si="24"/>
        <v>1.6245449538935264</v>
      </c>
      <c r="FD7" s="109">
        <f t="shared" si="25"/>
        <v>1.2217408584238174</v>
      </c>
      <c r="FE7" s="109">
        <f t="shared" si="26"/>
        <v>51.81622632500147</v>
      </c>
      <c r="FF7" s="109">
        <f t="shared" si="27"/>
        <v>7.066822258816954</v>
      </c>
      <c r="FG7" s="109">
        <f t="shared" si="28"/>
        <v>9.42683468522447</v>
      </c>
      <c r="FH7" s="109">
        <f t="shared" si="29"/>
        <v>2.025678292159452</v>
      </c>
      <c r="FI7" s="109">
        <f t="shared" si="30"/>
        <v>2.5369050363562575</v>
      </c>
      <c r="FJ7" s="109">
        <f t="shared" si="31"/>
        <v>2.332645793802828</v>
      </c>
      <c r="FK7" s="109">
        <f t="shared" si="32"/>
        <v>24.794887608638554</v>
      </c>
      <c r="FL7" s="109">
        <f t="shared" si="33"/>
        <v>68.89987219931797</v>
      </c>
      <c r="FM7" s="109">
        <f t="shared" si="34"/>
        <v>9.396731198328341</v>
      </c>
      <c r="FN7" s="109">
        <f t="shared" si="35"/>
        <v>12.534832254711581</v>
      </c>
      <c r="FO7" s="109">
        <f t="shared" si="36"/>
        <v>2.693538015897088</v>
      </c>
      <c r="FP7" s="109">
        <f t="shared" si="37"/>
        <v>3.3733146001489964</v>
      </c>
      <c r="FQ7" s="123"/>
      <c r="FR7" s="121">
        <f aca="true" t="shared" si="54" ref="FR7:FR27">(AG7/48)+(AC7/62)+(Y7/35.5)+(W7/95)</f>
        <v>89.20188342246719</v>
      </c>
      <c r="FS7" s="121">
        <f aca="true" t="shared" si="55" ref="FS7:FS27">(BO7/48)+(BK7/62)+(BG7/35.5)+(BE7/95)</f>
        <v>134.38319952875028</v>
      </c>
      <c r="FT7" s="106">
        <f t="shared" si="38"/>
        <v>51.15035939457173</v>
      </c>
      <c r="FU7" s="106">
        <f t="shared" si="39"/>
        <v>102.2773659112853</v>
      </c>
      <c r="FV7" s="106">
        <f aca="true" t="shared" si="56" ref="FV7:FV27">FT7/FR7</f>
        <v>0.5734224147748044</v>
      </c>
      <c r="FW7" s="106">
        <f aca="true" t="shared" si="57" ref="FW7:FW27">FU7/FS7</f>
        <v>0.7610874444867182</v>
      </c>
    </row>
    <row r="8" spans="1:179" ht="12.75">
      <c r="A8" s="118">
        <v>349.1666666666667</v>
      </c>
      <c r="B8" s="80">
        <v>270</v>
      </c>
      <c r="C8" s="80">
        <v>440</v>
      </c>
      <c r="D8" s="79" t="s">
        <v>123</v>
      </c>
      <c r="E8" s="119">
        <v>1</v>
      </c>
      <c r="F8" s="120">
        <v>36476.395833333336</v>
      </c>
      <c r="G8" s="120">
        <v>36477.052083333336</v>
      </c>
      <c r="H8" s="119"/>
      <c r="I8" s="81">
        <v>32.03333333333333</v>
      </c>
      <c r="J8" s="46">
        <v>-14.466666666666667</v>
      </c>
      <c r="K8" s="81">
        <v>28.191731770826337</v>
      </c>
      <c r="L8" s="46">
        <v>-16.020442708335786</v>
      </c>
      <c r="M8" s="106">
        <v>2.0365625</v>
      </c>
      <c r="N8" s="106">
        <v>2.0319354838709676</v>
      </c>
      <c r="O8" s="106">
        <v>0.19111599840335822</v>
      </c>
      <c r="P8" s="106">
        <v>0.19111599840335822</v>
      </c>
      <c r="Q8" s="106"/>
      <c r="R8" s="153">
        <v>15.781499999999998</v>
      </c>
      <c r="S8" s="106"/>
      <c r="T8" s="106">
        <f t="shared" si="0"/>
        <v>3.1894968977678437</v>
      </c>
      <c r="U8" s="106">
        <v>23.151917534517484</v>
      </c>
      <c r="V8" s="106">
        <v>1.4881024027586613</v>
      </c>
      <c r="W8" s="106">
        <v>3.409221259851451</v>
      </c>
      <c r="X8" s="106">
        <v>0</v>
      </c>
      <c r="Y8" s="106">
        <v>128.92816537041537</v>
      </c>
      <c r="Z8" s="106">
        <v>2.307496005519825</v>
      </c>
      <c r="AA8" s="106">
        <f t="shared" si="1"/>
        <v>1.1896385936977574</v>
      </c>
      <c r="AB8" s="106">
        <f t="shared" si="40"/>
        <v>-93.96613540818544</v>
      </c>
      <c r="AC8" s="106">
        <v>85.03045472257526</v>
      </c>
      <c r="AD8" s="106">
        <v>9.066851529392714</v>
      </c>
      <c r="AE8" s="106">
        <v>11.189384858853723</v>
      </c>
      <c r="AF8" s="106">
        <v>9.453885224612502</v>
      </c>
      <c r="AG8" s="106">
        <v>2399.7606505982358</v>
      </c>
      <c r="AH8" s="46">
        <f t="shared" si="2"/>
        <v>2351.4822425495886</v>
      </c>
      <c r="AI8" s="106">
        <v>34.003697730973485</v>
      </c>
      <c r="AJ8" s="108"/>
      <c r="AL8" s="106">
        <v>96.78833607626997</v>
      </c>
      <c r="AM8" s="106">
        <v>1.1616977684841958</v>
      </c>
      <c r="AN8" s="106">
        <v>52.88207531615195</v>
      </c>
      <c r="AO8" s="106">
        <v>3.1647463450524</v>
      </c>
      <c r="AP8" s="106">
        <v>0</v>
      </c>
      <c r="AQ8" s="106">
        <v>43.238229125640544</v>
      </c>
      <c r="AR8" s="106">
        <v>1.2696314820095258</v>
      </c>
      <c r="AS8" s="108"/>
      <c r="AT8" s="106">
        <f t="shared" si="41"/>
        <v>3.409221259851451</v>
      </c>
      <c r="AU8" s="106">
        <v>225.71650144668536</v>
      </c>
      <c r="AV8" s="106">
        <v>3.4691937740040206</v>
      </c>
      <c r="AW8" s="106">
        <v>137.9125300387272</v>
      </c>
      <c r="AX8" s="106">
        <v>14.354131203906123</v>
      </c>
      <c r="AY8" s="106">
        <v>9.453885224612502</v>
      </c>
      <c r="AZ8" s="106">
        <v>2442.998879723876</v>
      </c>
      <c r="BA8" s="106">
        <v>35.27332921298301</v>
      </c>
      <c r="BB8" s="108"/>
      <c r="BC8" s="106">
        <v>24.796740493095722</v>
      </c>
      <c r="BD8" s="106">
        <v>0.4749418363469026</v>
      </c>
      <c r="BE8" s="106">
        <v>-0.34092212598514515</v>
      </c>
      <c r="BF8" s="106">
        <v>0</v>
      </c>
      <c r="BG8" s="106">
        <v>2785.184781394327</v>
      </c>
      <c r="BH8" s="106">
        <v>-0.23074960055198251</v>
      </c>
      <c r="BI8" s="106">
        <f t="shared" si="42"/>
        <v>11.280070371801756</v>
      </c>
      <c r="BJ8" s="106">
        <f t="shared" si="43"/>
        <v>102.04563972516357</v>
      </c>
      <c r="BK8" s="106">
        <v>914.8885774367745</v>
      </c>
      <c r="BL8" s="106">
        <v>1.603150262262072</v>
      </c>
      <c r="BM8" s="106">
        <v>2.9893502490257586</v>
      </c>
      <c r="BN8" s="106">
        <v>11.973410576483717</v>
      </c>
      <c r="BO8" s="106">
        <v>814.8143253767286</v>
      </c>
      <c r="BP8" s="121">
        <f>BO8-0.2519*$DI8</f>
        <v>357.0418194137467</v>
      </c>
      <c r="BQ8" s="106">
        <v>20.778950005581628</v>
      </c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8"/>
      <c r="CF8" s="106">
        <v>47.948658027613206</v>
      </c>
      <c r="CG8" s="106">
        <v>1.963044239105564</v>
      </c>
      <c r="CH8" s="106">
        <f t="shared" si="4"/>
        <v>3.409221259851451</v>
      </c>
      <c r="CI8" s="106">
        <f t="shared" si="5"/>
        <v>0</v>
      </c>
      <c r="CJ8" s="106">
        <f t="shared" si="6"/>
        <v>2914.112946764742</v>
      </c>
      <c r="CK8" s="106">
        <f t="shared" si="7"/>
        <v>2.307496005519825</v>
      </c>
      <c r="CL8" s="106">
        <f t="shared" si="8"/>
        <v>999.9190321593499</v>
      </c>
      <c r="CM8" s="106">
        <f t="shared" si="9"/>
        <v>10.670001791654787</v>
      </c>
      <c r="CN8" s="106">
        <f t="shared" si="10"/>
        <v>14.178735107879481</v>
      </c>
      <c r="CO8" s="106">
        <f t="shared" si="11"/>
        <v>21.42729580109622</v>
      </c>
      <c r="CP8" s="106">
        <f t="shared" si="12"/>
        <v>3214.574975974964</v>
      </c>
      <c r="CQ8" s="121">
        <f t="shared" si="13"/>
        <v>2708.524061963335</v>
      </c>
      <c r="CR8" s="106">
        <f t="shared" si="14"/>
        <v>54.78264773655511</v>
      </c>
      <c r="CS8" s="106"/>
      <c r="CT8" s="106"/>
      <c r="CU8" s="106"/>
      <c r="CV8" s="106"/>
      <c r="CW8" s="108"/>
      <c r="CX8" s="121">
        <f t="shared" si="15"/>
        <v>3.409221259851451</v>
      </c>
      <c r="CY8" s="106">
        <v>3010.9012828410123</v>
      </c>
      <c r="CZ8" s="106">
        <v>3.238444173452038</v>
      </c>
      <c r="DA8" s="106">
        <v>1052.8011074755018</v>
      </c>
      <c r="DB8" s="106">
        <v>17.343481452931883</v>
      </c>
      <c r="DC8" s="106">
        <v>21.42729580109622</v>
      </c>
      <c r="DD8" s="106">
        <v>3257.8132051006046</v>
      </c>
      <c r="DE8" s="46">
        <f t="shared" si="16"/>
        <v>2751.7622910889754</v>
      </c>
      <c r="DF8" s="106">
        <v>56.052279218564635</v>
      </c>
      <c r="DH8" s="121">
        <v>191.65703870046502</v>
      </c>
      <c r="DI8" s="121">
        <v>1817.2787056886934</v>
      </c>
      <c r="DJ8" s="121">
        <v>2008.9357443891583</v>
      </c>
      <c r="DK8" s="121">
        <f t="shared" si="44"/>
        <v>410.66401226009896</v>
      </c>
      <c r="DL8" s="121">
        <f t="shared" si="45"/>
        <v>5456.584478756706</v>
      </c>
      <c r="DM8" s="121"/>
      <c r="DN8" s="121"/>
      <c r="DO8" s="121"/>
      <c r="DP8" s="121"/>
      <c r="DQ8" s="121">
        <f t="shared" si="46"/>
        <v>5867.248491016805</v>
      </c>
      <c r="DR8" s="121">
        <f t="shared" si="47"/>
        <v>5.867248491016805</v>
      </c>
      <c r="DS8" s="121">
        <v>348.2324331587267</v>
      </c>
      <c r="DT8" s="121">
        <v>-34.81023170164081</v>
      </c>
      <c r="DU8" s="121">
        <v>348.2324331587267</v>
      </c>
      <c r="DV8" s="121">
        <v>0</v>
      </c>
      <c r="DW8" s="121">
        <v>0</v>
      </c>
      <c r="DX8" s="121">
        <v>0</v>
      </c>
      <c r="DY8" s="122">
        <f t="shared" si="17"/>
        <v>-7.206304655137485</v>
      </c>
      <c r="DZ8" s="122">
        <f t="shared" si="18"/>
        <v>-68.32967933389487</v>
      </c>
      <c r="EA8" s="121"/>
      <c r="EB8" s="121">
        <v>7.007975945375563</v>
      </c>
      <c r="EC8" s="121">
        <f t="shared" si="49"/>
        <v>-15.990868698680238</v>
      </c>
      <c r="ED8" s="121">
        <v>122.44967856417678</v>
      </c>
      <c r="EE8" s="121">
        <f t="shared" si="50"/>
        <v>-95.62376611846643</v>
      </c>
      <c r="EF8" s="121">
        <v>129.45765450955236</v>
      </c>
      <c r="EG8" s="121"/>
      <c r="EH8" s="121">
        <v>0</v>
      </c>
      <c r="EI8" s="121">
        <f t="shared" si="51"/>
        <v>-7.319390980234954</v>
      </c>
      <c r="EJ8" s="121">
        <v>0</v>
      </c>
      <c r="EK8" s="121">
        <f t="shared" si="52"/>
        <v>-69.40195600005688</v>
      </c>
      <c r="EL8" s="121">
        <v>0</v>
      </c>
      <c r="EM8" s="121"/>
      <c r="EO8" s="46">
        <f t="shared" si="19"/>
        <v>2351.4822425495886</v>
      </c>
      <c r="EP8" s="46">
        <f t="shared" si="20"/>
        <v>406.8308714860897</v>
      </c>
      <c r="EQ8" s="121">
        <f aca="true" t="shared" si="58" ref="EQ8:EQ21">DS8</f>
        <v>348.2324331587267</v>
      </c>
      <c r="ER8" s="106">
        <f aca="true" t="shared" si="59" ref="ER8:ER21">AC8</f>
        <v>85.03045472257526</v>
      </c>
      <c r="ES8" s="106">
        <f aca="true" t="shared" si="60" ref="ES8:ES21">U8+V8+W8+X8+Z8+AD8+AE8+AF8+AI8</f>
        <v>94.07055654647984</v>
      </c>
      <c r="ET8" s="106"/>
      <c r="EU8" s="123">
        <v>73.17032213581626</v>
      </c>
      <c r="EV8" s="123">
        <v>1582.5558891229289</v>
      </c>
      <c r="EW8" s="123"/>
      <c r="EX8" s="123"/>
      <c r="EY8" s="124">
        <f t="shared" si="21"/>
        <v>2.0365625</v>
      </c>
      <c r="EZ8" s="124">
        <f t="shared" si="53"/>
        <v>3.46215625</v>
      </c>
      <c r="FA8" s="124">
        <f t="shared" si="22"/>
        <v>4.9413727697222045</v>
      </c>
      <c r="FB8" s="121">
        <f t="shared" si="23"/>
        <v>3.3588168805992757</v>
      </c>
      <c r="FC8" s="109">
        <f t="shared" si="24"/>
        <v>2.4263300388385844</v>
      </c>
      <c r="FD8" s="109">
        <f t="shared" si="25"/>
        <v>1.6492579435196688</v>
      </c>
      <c r="FE8" s="109">
        <f t="shared" si="26"/>
        <v>47.58763105180152</v>
      </c>
      <c r="FF8" s="109">
        <f t="shared" si="27"/>
        <v>8.2331548426969</v>
      </c>
      <c r="FG8" s="109">
        <f t="shared" si="28"/>
        <v>7.047281178471053</v>
      </c>
      <c r="FH8" s="109">
        <f t="shared" si="29"/>
        <v>1.7207860787915323</v>
      </c>
      <c r="FI8" s="109">
        <f t="shared" si="30"/>
        <v>1.9037332524857928</v>
      </c>
      <c r="FJ8" s="109">
        <f t="shared" si="31"/>
        <v>1.48076912116731</v>
      </c>
      <c r="FK8" s="109">
        <f t="shared" si="32"/>
        <v>32.0266444745859</v>
      </c>
      <c r="FL8" s="109">
        <f t="shared" si="33"/>
        <v>70.0092421272469</v>
      </c>
      <c r="FM8" s="109">
        <f t="shared" si="34"/>
        <v>12.112326630128862</v>
      </c>
      <c r="FN8" s="109">
        <f t="shared" si="35"/>
        <v>10.367711177413026</v>
      </c>
      <c r="FO8" s="109">
        <f t="shared" si="36"/>
        <v>2.5315597052556265</v>
      </c>
      <c r="FP8" s="109">
        <f t="shared" si="37"/>
        <v>2.8007051259578013</v>
      </c>
      <c r="FQ8" s="123"/>
      <c r="FR8" s="121">
        <f t="shared" si="54"/>
        <v>55.03413834705449</v>
      </c>
      <c r="FS8" s="121">
        <f t="shared" si="55"/>
        <v>110.18388650445473</v>
      </c>
      <c r="FT8" s="106">
        <f t="shared" si="38"/>
        <v>28.23979908833315</v>
      </c>
      <c r="FU8" s="106">
        <f t="shared" si="39"/>
        <v>86.87419016257073</v>
      </c>
      <c r="FV8" s="106">
        <f t="shared" si="56"/>
        <v>0.5131323926659531</v>
      </c>
      <c r="FW8" s="106">
        <f t="shared" si="57"/>
        <v>0.7884473212792181</v>
      </c>
    </row>
    <row r="9" spans="1:179" ht="12.75">
      <c r="A9" s="80">
        <v>214</v>
      </c>
      <c r="B9" s="80">
        <v>175</v>
      </c>
      <c r="C9" s="80">
        <v>270</v>
      </c>
      <c r="D9" s="79" t="s">
        <v>124</v>
      </c>
      <c r="E9" s="119">
        <v>1</v>
      </c>
      <c r="F9" s="120">
        <v>36477.072916666664</v>
      </c>
      <c r="G9" s="120">
        <v>36477.725694444445</v>
      </c>
      <c r="H9" s="119"/>
      <c r="I9" s="81">
        <v>28.191731770826337</v>
      </c>
      <c r="J9" s="46">
        <v>-16.020442708335786</v>
      </c>
      <c r="K9" s="81">
        <v>24.55</v>
      </c>
      <c r="L9" s="46">
        <v>-17.3</v>
      </c>
      <c r="M9" s="106">
        <v>3.100625</v>
      </c>
      <c r="N9" s="106">
        <v>3.0978125</v>
      </c>
      <c r="O9" s="106">
        <v>0.35871401692386645</v>
      </c>
      <c r="P9" s="106">
        <v>0.35871401692386645</v>
      </c>
      <c r="Q9" s="106"/>
      <c r="R9" s="153">
        <v>15.698000000077766</v>
      </c>
      <c r="S9" s="106"/>
      <c r="T9" s="106">
        <f t="shared" si="0"/>
        <v>5.2345037246299935</v>
      </c>
      <c r="U9" s="106">
        <v>5.083946112635231</v>
      </c>
      <c r="V9" s="106">
        <v>3.6837022481253388</v>
      </c>
      <c r="W9" s="106">
        <v>18.678079157982182</v>
      </c>
      <c r="X9" s="106">
        <v>0</v>
      </c>
      <c r="Y9" s="106">
        <v>300.3059569763218</v>
      </c>
      <c r="Z9" s="106">
        <v>2.711810685353421</v>
      </c>
      <c r="AA9" s="106">
        <f t="shared" si="1"/>
        <v>1.9837710352537747</v>
      </c>
      <c r="AB9" s="106">
        <f t="shared" si="40"/>
        <v>-36.69978224107459</v>
      </c>
      <c r="AC9" s="106">
        <v>83.15454024172004</v>
      </c>
      <c r="AD9" s="106">
        <v>3.9481255329570417</v>
      </c>
      <c r="AE9" s="106">
        <v>12.246677252880257</v>
      </c>
      <c r="AF9" s="106">
        <v>13.763693337370412</v>
      </c>
      <c r="AG9" s="106">
        <v>3794.955334547843</v>
      </c>
      <c r="AH9" s="46">
        <f t="shared" si="2"/>
        <v>3714.4491135640596</v>
      </c>
      <c r="AI9" s="106">
        <v>74.08225793321424</v>
      </c>
      <c r="AJ9" s="108"/>
      <c r="AL9" s="106">
        <v>145.24713931348106</v>
      </c>
      <c r="AM9" s="106">
        <v>1.2689672212250098</v>
      </c>
      <c r="AN9" s="106">
        <v>39.908055882835285</v>
      </c>
      <c r="AO9" s="106">
        <v>5.365511405177196</v>
      </c>
      <c r="AP9" s="106">
        <v>3.900001415589179</v>
      </c>
      <c r="AQ9" s="106">
        <v>45.232346307279116</v>
      </c>
      <c r="AR9" s="106">
        <v>6.301251194388455</v>
      </c>
      <c r="AS9" s="108"/>
      <c r="AT9" s="106">
        <f t="shared" si="41"/>
        <v>18.678079157982182</v>
      </c>
      <c r="AU9" s="106">
        <v>445.55309628980285</v>
      </c>
      <c r="AV9" s="106">
        <v>3.980777906578431</v>
      </c>
      <c r="AW9" s="106">
        <v>123.06259612455533</v>
      </c>
      <c r="AX9" s="106">
        <v>17.612188658057455</v>
      </c>
      <c r="AY9" s="106">
        <v>17.663694752959593</v>
      </c>
      <c r="AZ9" s="106">
        <v>3840.187680855122</v>
      </c>
      <c r="BA9" s="106">
        <v>80.3835091276027</v>
      </c>
      <c r="BB9" s="108"/>
      <c r="BC9" s="106">
        <v>-0.5083946112635231</v>
      </c>
      <c r="BD9" s="106">
        <v>-0.3683702248125339</v>
      </c>
      <c r="BE9" s="106">
        <v>-1.8678079157982184</v>
      </c>
      <c r="BF9" s="106">
        <v>0</v>
      </c>
      <c r="BG9" s="106">
        <v>580.867491110011</v>
      </c>
      <c r="BH9" s="106">
        <v>-0.27118106853534213</v>
      </c>
      <c r="BI9" s="106">
        <f t="shared" si="42"/>
        <v>18.294874808230187</v>
      </c>
      <c r="BJ9" s="106">
        <f t="shared" si="43"/>
        <v>101.48227889711139</v>
      </c>
      <c r="BK9" s="106">
        <v>331.36978617919607</v>
      </c>
      <c r="BL9" s="106">
        <v>-0.3948125532957042</v>
      </c>
      <c r="BM9" s="106">
        <v>-1.2246677252880258</v>
      </c>
      <c r="BN9" s="106">
        <v>-1.3763693337370413</v>
      </c>
      <c r="BO9" s="106">
        <v>-85.97196176720513</v>
      </c>
      <c r="BP9" s="121">
        <v>0</v>
      </c>
      <c r="BQ9" s="106">
        <v>26.272151714934598</v>
      </c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8"/>
      <c r="CF9" s="106">
        <v>4.575551501371708</v>
      </c>
      <c r="CG9" s="106">
        <v>3.315332023312805</v>
      </c>
      <c r="CH9" s="106">
        <f t="shared" si="4"/>
        <v>18.678079157982182</v>
      </c>
      <c r="CI9" s="106">
        <f t="shared" si="5"/>
        <v>0</v>
      </c>
      <c r="CJ9" s="106">
        <f t="shared" si="6"/>
        <v>881.1734480863328</v>
      </c>
      <c r="CK9" s="106">
        <f t="shared" si="7"/>
        <v>2.711810685353421</v>
      </c>
      <c r="CL9" s="106">
        <f t="shared" si="8"/>
        <v>414.5243264209161</v>
      </c>
      <c r="CM9" s="106">
        <f t="shared" si="9"/>
        <v>3.5533129796613374</v>
      </c>
      <c r="CN9" s="106">
        <f t="shared" si="10"/>
        <v>11.022009527592232</v>
      </c>
      <c r="CO9" s="106">
        <f t="shared" si="11"/>
        <v>12.38732400363337</v>
      </c>
      <c r="CP9" s="106">
        <f t="shared" si="12"/>
        <v>3794.955334547843</v>
      </c>
      <c r="CQ9" s="121">
        <f t="shared" si="13"/>
        <v>2971.9988972800948</v>
      </c>
      <c r="CR9" s="106">
        <f t="shared" si="14"/>
        <v>100.35440964814883</v>
      </c>
      <c r="CS9" s="106"/>
      <c r="CT9" s="106"/>
      <c r="CU9" s="106"/>
      <c r="CV9" s="106"/>
      <c r="CW9" s="108"/>
      <c r="CX9" s="121">
        <f t="shared" si="15"/>
        <v>18.678079157982182</v>
      </c>
      <c r="CY9" s="106">
        <v>1026.420587399814</v>
      </c>
      <c r="CZ9" s="106">
        <v>3.7095968380430886</v>
      </c>
      <c r="DA9" s="106">
        <v>454.4323823037514</v>
      </c>
      <c r="DB9" s="106">
        <v>16.38752093276943</v>
      </c>
      <c r="DC9" s="106">
        <v>16.28732541922255</v>
      </c>
      <c r="DD9" s="106">
        <v>3754.215719087917</v>
      </c>
      <c r="DE9" s="46">
        <f t="shared" si="16"/>
        <v>2931.259281820169</v>
      </c>
      <c r="DF9" s="106">
        <v>106.65566084253729</v>
      </c>
      <c r="DH9" s="121">
        <v>319.59595467956865</v>
      </c>
      <c r="DI9" s="121">
        <v>2947.400620420663</v>
      </c>
      <c r="DJ9" s="121">
        <v>3266.9965751002314</v>
      </c>
      <c r="DK9" s="121">
        <f t="shared" si="44"/>
        <v>770.1120103552877</v>
      </c>
      <c r="DL9" s="121">
        <f t="shared" si="45"/>
        <v>4913.5464031283855</v>
      </c>
      <c r="DM9" s="121"/>
      <c r="DN9" s="121"/>
      <c r="DO9" s="121"/>
      <c r="DP9" s="121"/>
      <c r="DQ9" s="121">
        <f t="shared" si="46"/>
        <v>5683.658413483673</v>
      </c>
      <c r="DR9" s="121">
        <f t="shared" si="47"/>
        <v>5.683658413483673</v>
      </c>
      <c r="DS9" s="121">
        <v>571.1673907125482</v>
      </c>
      <c r="DT9" s="121">
        <v>-57.11673907125483</v>
      </c>
      <c r="DU9" s="121">
        <v>571.1673907125482</v>
      </c>
      <c r="DV9" s="121">
        <v>8.155196597633047</v>
      </c>
      <c r="DW9" s="121">
        <v>47.31921633160545</v>
      </c>
      <c r="DX9" s="121">
        <v>55.4744129292385</v>
      </c>
      <c r="DY9" s="122">
        <f t="shared" si="17"/>
        <v>-3.861611298318735</v>
      </c>
      <c r="DZ9" s="122">
        <f t="shared" si="18"/>
        <v>-63.503046996211474</v>
      </c>
      <c r="EA9" s="121"/>
      <c r="EB9" s="121">
        <v>1.4462822984278803</v>
      </c>
      <c r="EC9" s="121">
        <f t="shared" si="49"/>
        <v>-36.905232263120354</v>
      </c>
      <c r="ED9" s="121">
        <v>145.481075936129</v>
      </c>
      <c r="EE9" s="121">
        <f t="shared" si="50"/>
        <v>-208.20699851435057</v>
      </c>
      <c r="EF9" s="121">
        <v>146.9273582345569</v>
      </c>
      <c r="EG9" s="121"/>
      <c r="EH9" s="121">
        <v>0</v>
      </c>
      <c r="EI9" s="121">
        <f t="shared" si="51"/>
        <v>-12.205383970568143</v>
      </c>
      <c r="EJ9" s="121">
        <v>76.53332976209059</v>
      </c>
      <c r="EK9" s="121">
        <f t="shared" si="52"/>
        <v>-36.02803329831845</v>
      </c>
      <c r="EL9" s="121">
        <v>76.53332976209059</v>
      </c>
      <c r="EM9" s="121"/>
      <c r="EO9" s="46">
        <f t="shared" si="19"/>
        <v>3714.4491135640596</v>
      </c>
      <c r="EP9" s="46">
        <f t="shared" si="20"/>
        <v>763.7200912616963</v>
      </c>
      <c r="EQ9" s="121">
        <f t="shared" si="58"/>
        <v>571.1673907125482</v>
      </c>
      <c r="ER9" s="106">
        <f t="shared" si="59"/>
        <v>83.15454024172004</v>
      </c>
      <c r="ES9" s="106">
        <f t="shared" si="60"/>
        <v>134.19829226051812</v>
      </c>
      <c r="ET9" s="106"/>
      <c r="EU9" s="123">
        <v>77.40974561538886</v>
      </c>
      <c r="EV9" s="123">
        <v>1434.4202657580227</v>
      </c>
      <c r="EW9" s="123"/>
      <c r="EX9" s="123"/>
      <c r="EY9" s="124">
        <f t="shared" si="21"/>
        <v>3.100625</v>
      </c>
      <c r="EZ9" s="124">
        <f t="shared" si="53"/>
        <v>5.2710625</v>
      </c>
      <c r="FA9" s="124">
        <f t="shared" si="22"/>
        <v>6.7785194394139525</v>
      </c>
      <c r="FB9" s="121">
        <f t="shared" si="23"/>
        <v>5.34409917365593</v>
      </c>
      <c r="FC9" s="109">
        <f t="shared" si="24"/>
        <v>2.186178412227842</v>
      </c>
      <c r="FD9" s="109">
        <f t="shared" si="25"/>
        <v>1.7235554682220293</v>
      </c>
      <c r="FE9" s="109">
        <f t="shared" si="26"/>
        <v>54.79735135030015</v>
      </c>
      <c r="FF9" s="109">
        <f t="shared" si="27"/>
        <v>11.266768474853338</v>
      </c>
      <c r="FG9" s="109">
        <f t="shared" si="28"/>
        <v>8.426137828734019</v>
      </c>
      <c r="FH9" s="109">
        <f t="shared" si="29"/>
        <v>1.2267360296736023</v>
      </c>
      <c r="FI9" s="109">
        <f t="shared" si="30"/>
        <v>1.9797581678414486</v>
      </c>
      <c r="FJ9" s="109">
        <f t="shared" si="31"/>
        <v>1.1419860385040281</v>
      </c>
      <c r="FK9" s="109">
        <f t="shared" si="32"/>
        <v>21.161262110093435</v>
      </c>
      <c r="FL9" s="109">
        <f t="shared" si="33"/>
        <v>69.50561718380281</v>
      </c>
      <c r="FM9" s="109">
        <f t="shared" si="34"/>
        <v>14.290904162604285</v>
      </c>
      <c r="FN9" s="109">
        <f t="shared" si="35"/>
        <v>10.687814206894842</v>
      </c>
      <c r="FO9" s="109">
        <f t="shared" si="36"/>
        <v>1.5560066821296195</v>
      </c>
      <c r="FP9" s="109">
        <f t="shared" si="37"/>
        <v>2.5111489869435237</v>
      </c>
      <c r="FQ9" s="123"/>
      <c r="FR9" s="121">
        <f t="shared" si="54"/>
        <v>89.05870582299504</v>
      </c>
      <c r="FS9" s="121">
        <f t="shared" si="55"/>
        <v>19.896394836169815</v>
      </c>
      <c r="FT9" s="106">
        <f t="shared" si="38"/>
        <v>45.95180818561045</v>
      </c>
      <c r="FU9" s="106">
        <f t="shared" si="39"/>
        <v>141.65316669340947</v>
      </c>
      <c r="FV9" s="106">
        <f t="shared" si="56"/>
        <v>0.5159721080715015</v>
      </c>
      <c r="FW9" s="106">
        <f t="shared" si="57"/>
        <v>7.119539386899231</v>
      </c>
    </row>
    <row r="10" spans="1:179" ht="12.75">
      <c r="A10" s="118">
        <v>131</v>
      </c>
      <c r="B10" s="80">
        <v>75</v>
      </c>
      <c r="C10" s="80">
        <v>175</v>
      </c>
      <c r="D10" s="79" t="s">
        <v>125</v>
      </c>
      <c r="E10" s="119">
        <v>2</v>
      </c>
      <c r="F10" s="120">
        <v>36477.739583333336</v>
      </c>
      <c r="G10" s="120">
        <v>36478.65277777778</v>
      </c>
      <c r="H10" s="119"/>
      <c r="I10" s="81">
        <v>24.433333333333334</v>
      </c>
      <c r="J10" s="46">
        <v>-17.333333333333332</v>
      </c>
      <c r="K10" s="81">
        <v>19.316666666666666</v>
      </c>
      <c r="L10" s="46">
        <v>-17.983333333333334</v>
      </c>
      <c r="M10" s="106">
        <v>2.4904651162790703</v>
      </c>
      <c r="N10" s="106">
        <v>2.4904651162790703</v>
      </c>
      <c r="O10" s="106">
        <v>0.2761613781276335</v>
      </c>
      <c r="P10" s="106">
        <v>0.2751676215992572</v>
      </c>
      <c r="Q10" s="106"/>
      <c r="R10" s="153">
        <v>21.96050000001944</v>
      </c>
      <c r="S10" s="106"/>
      <c r="T10" s="106">
        <f t="shared" si="0"/>
        <v>5.474594333435307</v>
      </c>
      <c r="U10" s="106">
        <v>12.296622661833428</v>
      </c>
      <c r="V10" s="106">
        <v>6.325971261133578</v>
      </c>
      <c r="W10" s="106">
        <v>16.548092329451187</v>
      </c>
      <c r="X10" s="106">
        <v>0</v>
      </c>
      <c r="Y10" s="106">
        <v>55.22044367958242</v>
      </c>
      <c r="Z10" s="106">
        <v>2.3720179289056107</v>
      </c>
      <c r="AA10" s="106">
        <f t="shared" si="1"/>
        <v>7.194007090828277</v>
      </c>
      <c r="AB10" s="106">
        <f t="shared" si="40"/>
        <v>67.02786223369554</v>
      </c>
      <c r="AC10" s="106">
        <v>91.06080425624268</v>
      </c>
      <c r="AD10" s="106">
        <v>0</v>
      </c>
      <c r="AE10" s="106">
        <v>37.39805498555972</v>
      </c>
      <c r="AF10" s="106">
        <v>13.539461001938486</v>
      </c>
      <c r="AG10" s="106">
        <v>3249.9482577262497</v>
      </c>
      <c r="AH10" s="46">
        <f t="shared" si="2"/>
        <v>2957.9980707738346</v>
      </c>
      <c r="AI10" s="106">
        <v>58.914863001307474</v>
      </c>
      <c r="AJ10" s="108"/>
      <c r="AL10" s="106">
        <v>160.7771680300274</v>
      </c>
      <c r="AM10" s="106">
        <v>1.369510566951068</v>
      </c>
      <c r="AN10" s="106">
        <v>38.23277286193129</v>
      </c>
      <c r="AO10" s="106">
        <v>3.748648464537814</v>
      </c>
      <c r="AP10" s="106">
        <v>0</v>
      </c>
      <c r="AQ10" s="106">
        <v>63.46732616822407</v>
      </c>
      <c r="AR10" s="106">
        <v>9.503931255098609</v>
      </c>
      <c r="AS10" s="108"/>
      <c r="AT10" s="106">
        <f t="shared" si="41"/>
        <v>16.548092329451187</v>
      </c>
      <c r="AU10" s="106">
        <v>215.99761170960983</v>
      </c>
      <c r="AV10" s="106">
        <v>3.741528495856679</v>
      </c>
      <c r="AW10" s="106">
        <v>129.29357711817397</v>
      </c>
      <c r="AX10" s="106">
        <v>41.14670345009753</v>
      </c>
      <c r="AY10" s="106">
        <v>13.539461001938486</v>
      </c>
      <c r="AZ10" s="106">
        <v>3313.415583894474</v>
      </c>
      <c r="BA10" s="106">
        <v>68.41879425640609</v>
      </c>
      <c r="BB10" s="108"/>
      <c r="BC10" s="106">
        <v>1.353018399049174</v>
      </c>
      <c r="BD10" s="106">
        <v>6.393016670798628</v>
      </c>
      <c r="BE10" s="106">
        <v>4.846839207025953</v>
      </c>
      <c r="BF10" s="106">
        <v>0</v>
      </c>
      <c r="BG10" s="106">
        <v>3389.7391361601667</v>
      </c>
      <c r="BH10" s="106">
        <v>-0.2372017928905611</v>
      </c>
      <c r="BI10" s="106">
        <f t="shared" si="42"/>
        <v>17.03743859031112</v>
      </c>
      <c r="BJ10" s="106">
        <f t="shared" si="43"/>
        <v>101.39223857878176</v>
      </c>
      <c r="BK10" s="106">
        <v>1396.4860006705057</v>
      </c>
      <c r="BL10" s="106">
        <v>0</v>
      </c>
      <c r="BM10" s="106">
        <v>16.364472637169953</v>
      </c>
      <c r="BN10" s="106">
        <v>22.741589065195445</v>
      </c>
      <c r="BO10" s="106">
        <v>1035.9493876263407</v>
      </c>
      <c r="BP10" s="121">
        <f>BO10-0.2519*$DI10</f>
        <v>344.5289707667105</v>
      </c>
      <c r="BQ10" s="106">
        <v>45.95453952834376</v>
      </c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8"/>
      <c r="CF10" s="106">
        <v>13.649641060882603</v>
      </c>
      <c r="CG10" s="106">
        <v>12.718987931932206</v>
      </c>
      <c r="CH10" s="106">
        <f t="shared" si="4"/>
        <v>21.394931536477138</v>
      </c>
      <c r="CI10" s="106">
        <f t="shared" si="5"/>
        <v>0</v>
      </c>
      <c r="CJ10" s="106">
        <f t="shared" si="6"/>
        <v>3444.959579839749</v>
      </c>
      <c r="CK10" s="106">
        <f t="shared" si="7"/>
        <v>2.3720179289056107</v>
      </c>
      <c r="CL10" s="106">
        <f t="shared" si="8"/>
        <v>1487.5468049267483</v>
      </c>
      <c r="CM10" s="106">
        <f t="shared" si="9"/>
        <v>0</v>
      </c>
      <c r="CN10" s="106">
        <f t="shared" si="10"/>
        <v>53.76252762272967</v>
      </c>
      <c r="CO10" s="106">
        <f t="shared" si="11"/>
        <v>36.28105006713393</v>
      </c>
      <c r="CP10" s="106">
        <f t="shared" si="12"/>
        <v>4285.89764535259</v>
      </c>
      <c r="CQ10" s="121">
        <f t="shared" si="13"/>
        <v>3302.527041540545</v>
      </c>
      <c r="CR10" s="106">
        <f t="shared" si="14"/>
        <v>104.86940252965124</v>
      </c>
      <c r="CS10" s="106"/>
      <c r="CT10" s="106"/>
      <c r="CU10" s="106"/>
      <c r="CV10" s="106"/>
      <c r="CW10" s="108"/>
      <c r="CX10" s="121">
        <f t="shared" si="15"/>
        <v>21.394931536477138</v>
      </c>
      <c r="CY10" s="106">
        <v>3605.7367478697765</v>
      </c>
      <c r="CZ10" s="106">
        <v>3.504326702966118</v>
      </c>
      <c r="DA10" s="106">
        <v>1525.7795777886797</v>
      </c>
      <c r="DB10" s="106">
        <v>57.511176087267486</v>
      </c>
      <c r="DC10" s="106">
        <v>36.28105006713393</v>
      </c>
      <c r="DD10" s="106">
        <v>4349.364971520815</v>
      </c>
      <c r="DE10" s="46">
        <f t="shared" si="16"/>
        <v>3365.9943677087695</v>
      </c>
      <c r="DF10" s="106">
        <v>114.37333378474985</v>
      </c>
      <c r="DH10" s="121">
        <v>1158.9924055276504</v>
      </c>
      <c r="DI10" s="121">
        <v>2744.821027628544</v>
      </c>
      <c r="DJ10" s="121">
        <v>3903.813433156194</v>
      </c>
      <c r="DK10" s="121">
        <f t="shared" si="44"/>
        <v>1758.9392798052284</v>
      </c>
      <c r="DL10" s="121">
        <f t="shared" si="45"/>
        <v>7424.626046774127</v>
      </c>
      <c r="DM10" s="121"/>
      <c r="DN10" s="121"/>
      <c r="DO10" s="121"/>
      <c r="DP10" s="121"/>
      <c r="DQ10" s="121">
        <f t="shared" si="46"/>
        <v>9183.565326579355</v>
      </c>
      <c r="DR10" s="121">
        <f t="shared" si="47"/>
        <v>9.183565326579355</v>
      </c>
      <c r="DS10" s="121">
        <v>488.5573405531877</v>
      </c>
      <c r="DT10" s="121">
        <v>-48.85573405531878</v>
      </c>
      <c r="DU10" s="121">
        <v>488.5573405531877</v>
      </c>
      <c r="DV10" s="121">
        <v>0</v>
      </c>
      <c r="DW10" s="121">
        <v>109.59203590920605</v>
      </c>
      <c r="DX10" s="121">
        <v>109.59203590920605</v>
      </c>
      <c r="DY10" s="122">
        <f t="shared" si="17"/>
        <v>-43.57811444783965</v>
      </c>
      <c r="DZ10" s="122">
        <f t="shared" si="18"/>
        <v>6.386765270372791</v>
      </c>
      <c r="EA10" s="121">
        <f t="shared" si="48"/>
        <v>6.386765270372791</v>
      </c>
      <c r="EB10" s="121">
        <v>0</v>
      </c>
      <c r="EC10" s="121">
        <f t="shared" si="49"/>
        <v>-139.07908866331803</v>
      </c>
      <c r="ED10" s="121">
        <v>150.23149309536805</v>
      </c>
      <c r="EE10" s="121">
        <f t="shared" si="50"/>
        <v>-179.14703022005725</v>
      </c>
      <c r="EF10" s="121">
        <v>150.23149309536805</v>
      </c>
      <c r="EG10" s="121"/>
      <c r="EH10" s="121">
        <v>0</v>
      </c>
      <c r="EI10" s="121">
        <f t="shared" si="51"/>
        <v>-44.26197241019624</v>
      </c>
      <c r="EJ10" s="121">
        <v>196.19173080473743</v>
      </c>
      <c r="EK10" s="121">
        <f t="shared" si="52"/>
        <v>91.36689155955683</v>
      </c>
      <c r="EL10" s="121">
        <v>196.19173080473743</v>
      </c>
      <c r="EM10" s="121">
        <f>IF(EI10&gt;0,EI10,0)+IF(EK10&gt;0,EK10,0)</f>
        <v>91.36689155955683</v>
      </c>
      <c r="EO10" s="46">
        <f t="shared" si="19"/>
        <v>2957.9980707738346</v>
      </c>
      <c r="EP10" s="46">
        <f t="shared" si="20"/>
        <v>1735.7594316946754</v>
      </c>
      <c r="EQ10" s="121">
        <f t="shared" si="58"/>
        <v>488.5573405531877</v>
      </c>
      <c r="ER10" s="106">
        <f t="shared" si="59"/>
        <v>91.06080425624268</v>
      </c>
      <c r="ES10" s="106">
        <f t="shared" si="60"/>
        <v>147.39508317012948</v>
      </c>
      <c r="ET10" s="106"/>
      <c r="EU10" s="123">
        <v>47.84774872199228</v>
      </c>
      <c r="EV10" s="123">
        <v>1390.37812998135</v>
      </c>
      <c r="EW10" s="123"/>
      <c r="EX10" s="123"/>
      <c r="EY10" s="124">
        <f t="shared" si="21"/>
        <v>2.4904651162790703</v>
      </c>
      <c r="EZ10" s="124">
        <f t="shared" si="53"/>
        <v>4.2337906976744195</v>
      </c>
      <c r="FA10" s="124">
        <f t="shared" si="22"/>
        <v>6.858996609151412</v>
      </c>
      <c r="FB10" s="121">
        <f t="shared" si="23"/>
        <v>5.468618479170063</v>
      </c>
      <c r="FC10" s="109">
        <f t="shared" si="24"/>
        <v>2.7541026631199053</v>
      </c>
      <c r="FD10" s="109">
        <f t="shared" si="25"/>
        <v>2.195822155236835</v>
      </c>
      <c r="FE10" s="109">
        <f t="shared" si="26"/>
        <v>43.125813283348386</v>
      </c>
      <c r="FF10" s="109">
        <f t="shared" si="27"/>
        <v>25.30631709860871</v>
      </c>
      <c r="FG10" s="109">
        <f t="shared" si="28"/>
        <v>7.122868961640025</v>
      </c>
      <c r="FH10" s="109">
        <f t="shared" si="29"/>
        <v>1.327611157217187</v>
      </c>
      <c r="FI10" s="109">
        <f t="shared" si="30"/>
        <v>2.148930690146019</v>
      </c>
      <c r="FJ10" s="109">
        <f t="shared" si="31"/>
        <v>0.6975910829020217</v>
      </c>
      <c r="FK10" s="109">
        <f t="shared" si="32"/>
        <v>20.27086772613766</v>
      </c>
      <c r="FL10" s="109">
        <f t="shared" si="33"/>
        <v>54.09040842839618</v>
      </c>
      <c r="FM10" s="109">
        <f t="shared" si="34"/>
        <v>31.74036437733174</v>
      </c>
      <c r="FN10" s="109">
        <f t="shared" si="35"/>
        <v>8.933834796011093</v>
      </c>
      <c r="FO10" s="109">
        <f t="shared" si="36"/>
        <v>1.6651518953661288</v>
      </c>
      <c r="FP10" s="109">
        <f t="shared" si="37"/>
        <v>2.695289198388158</v>
      </c>
      <c r="FQ10" s="123"/>
      <c r="FR10" s="121">
        <f t="shared" si="54"/>
        <v>70.90567391992717</v>
      </c>
      <c r="FS10" s="121">
        <f t="shared" si="55"/>
        <v>139.6428754910066</v>
      </c>
      <c r="FT10" s="106">
        <f t="shared" si="38"/>
        <v>77.53304862855319</v>
      </c>
      <c r="FU10" s="106">
        <f t="shared" si="39"/>
        <v>141.26399542265068</v>
      </c>
      <c r="FV10" s="106">
        <f t="shared" si="56"/>
        <v>1.0934674806999258</v>
      </c>
      <c r="FW10" s="106">
        <f t="shared" si="57"/>
        <v>1.011609041463404</v>
      </c>
    </row>
    <row r="11" spans="1:179" ht="12.75">
      <c r="A11" s="118">
        <v>121</v>
      </c>
      <c r="B11" s="80">
        <v>60</v>
      </c>
      <c r="C11" s="80">
        <v>180</v>
      </c>
      <c r="D11" s="79" t="s">
        <v>126</v>
      </c>
      <c r="E11" s="119">
        <v>2</v>
      </c>
      <c r="F11" s="120">
        <v>36478.65625</v>
      </c>
      <c r="G11" s="120">
        <v>36479.37708333333</v>
      </c>
      <c r="H11" s="119"/>
      <c r="I11" s="81">
        <v>19.3</v>
      </c>
      <c r="J11" s="46">
        <v>-17.983333333333334</v>
      </c>
      <c r="K11" s="81">
        <v>15.195</v>
      </c>
      <c r="L11" s="46">
        <v>-17.995</v>
      </c>
      <c r="M11" s="106">
        <v>2.487428571428571</v>
      </c>
      <c r="N11" s="106">
        <v>2.3996153846153847</v>
      </c>
      <c r="O11" s="106">
        <v>0.2636215087650616</v>
      </c>
      <c r="P11" s="106">
        <v>0.2672582799219413</v>
      </c>
      <c r="Q11" s="106"/>
      <c r="R11" s="153">
        <v>17.334599999988335</v>
      </c>
      <c r="S11" s="106"/>
      <c r="T11" s="106">
        <f t="shared" si="0"/>
        <v>3.1636371266115746</v>
      </c>
      <c r="U11" s="106">
        <v>0</v>
      </c>
      <c r="V11" s="106">
        <v>4.915409501310407</v>
      </c>
      <c r="W11" s="106">
        <v>8.769764612470832</v>
      </c>
      <c r="X11" s="106">
        <v>0</v>
      </c>
      <c r="Y11" s="106">
        <v>414.3873426357458</v>
      </c>
      <c r="Z11" s="106">
        <v>4.6791452419534165</v>
      </c>
      <c r="AA11" s="106">
        <f t="shared" si="1"/>
        <v>2.5163757008846064</v>
      </c>
      <c r="AB11" s="106">
        <f t="shared" si="40"/>
        <v>-85.94779946049036</v>
      </c>
      <c r="AC11" s="106">
        <v>329.8518316675802</v>
      </c>
      <c r="AD11" s="106">
        <v>0</v>
      </c>
      <c r="AE11" s="106">
        <v>6.441836942689293</v>
      </c>
      <c r="AF11" s="106">
        <v>4.544539693897223</v>
      </c>
      <c r="AG11" s="106">
        <v>1561.7975605699867</v>
      </c>
      <c r="AH11" s="46">
        <f t="shared" si="2"/>
        <v>1459.6769555941594</v>
      </c>
      <c r="AI11" s="106">
        <v>39.87643872580087</v>
      </c>
      <c r="AJ11" s="108"/>
      <c r="AL11" s="106">
        <v>100.27372455666328</v>
      </c>
      <c r="AM11" s="106">
        <v>2.589554353081069</v>
      </c>
      <c r="AN11" s="106">
        <v>26.398880110167834</v>
      </c>
      <c r="AO11" s="106">
        <v>4.474032025867787</v>
      </c>
      <c r="AP11" s="106">
        <v>0</v>
      </c>
      <c r="AQ11" s="106">
        <v>37.72017311889148</v>
      </c>
      <c r="AR11" s="106">
        <v>0.8289791842140194</v>
      </c>
      <c r="AS11" s="108"/>
      <c r="AT11" s="106">
        <f t="shared" si="41"/>
        <v>8.769764612470832</v>
      </c>
      <c r="AU11" s="106">
        <v>514.6610671924091</v>
      </c>
      <c r="AV11" s="106">
        <v>7.2686995950344855</v>
      </c>
      <c r="AW11" s="106">
        <v>356.25071177774805</v>
      </c>
      <c r="AX11" s="106">
        <v>10.915868968557081</v>
      </c>
      <c r="AY11" s="106">
        <v>4.544539693897223</v>
      </c>
      <c r="AZ11" s="106">
        <v>1599.5177336888783</v>
      </c>
      <c r="BA11" s="106">
        <v>40.70541791001489</v>
      </c>
      <c r="BB11" s="108"/>
      <c r="BC11" s="106">
        <v>94.91519612509063</v>
      </c>
      <c r="BD11" s="106">
        <v>27.09733605467692</v>
      </c>
      <c r="BE11" s="106">
        <v>-0.8769764612470832</v>
      </c>
      <c r="BF11" s="106">
        <v>0</v>
      </c>
      <c r="BG11" s="106">
        <v>3930.471714353655</v>
      </c>
      <c r="BH11" s="106">
        <v>-0.4679145241953417</v>
      </c>
      <c r="BI11" s="106">
        <f t="shared" si="42"/>
        <v>15.903556944296604</v>
      </c>
      <c r="BJ11" s="106">
        <f t="shared" si="43"/>
        <v>102.9422004513471</v>
      </c>
      <c r="BK11" s="106">
        <v>1305.0373636675786</v>
      </c>
      <c r="BL11" s="106">
        <v>0</v>
      </c>
      <c r="BM11" s="106">
        <v>6.768736130825764</v>
      </c>
      <c r="BN11" s="106">
        <v>10.131310917029548</v>
      </c>
      <c r="BO11" s="106">
        <v>1053.1746411190854</v>
      </c>
      <c r="BP11" s="121">
        <f>BO11-0.2519*$DI11</f>
        <v>407.7698806740691</v>
      </c>
      <c r="BQ11" s="106">
        <v>29.26350646504583</v>
      </c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8"/>
      <c r="CF11" s="106">
        <v>94.91519612509063</v>
      </c>
      <c r="CG11" s="106">
        <v>32.01274555598732</v>
      </c>
      <c r="CH11" s="106">
        <f t="shared" si="4"/>
        <v>8.769764612470832</v>
      </c>
      <c r="CI11" s="106">
        <f t="shared" si="5"/>
        <v>0</v>
      </c>
      <c r="CJ11" s="106">
        <f t="shared" si="6"/>
        <v>4344.8590569894</v>
      </c>
      <c r="CK11" s="106">
        <f t="shared" si="7"/>
        <v>4.6791452419534165</v>
      </c>
      <c r="CL11" s="106">
        <f t="shared" si="8"/>
        <v>1634.8891953351588</v>
      </c>
      <c r="CM11" s="106">
        <f t="shared" si="9"/>
        <v>0</v>
      </c>
      <c r="CN11" s="106">
        <f t="shared" si="10"/>
        <v>13.210573073515057</v>
      </c>
      <c r="CO11" s="106">
        <f t="shared" si="11"/>
        <v>14.675850610926771</v>
      </c>
      <c r="CP11" s="106">
        <f t="shared" si="12"/>
        <v>2614.972201689072</v>
      </c>
      <c r="CQ11" s="121">
        <f t="shared" si="13"/>
        <v>1867.4468362682283</v>
      </c>
      <c r="CR11" s="106">
        <f t="shared" si="14"/>
        <v>69.1399451908467</v>
      </c>
      <c r="CS11" s="106"/>
      <c r="CT11" s="106"/>
      <c r="CU11" s="106"/>
      <c r="CV11" s="106"/>
      <c r="CW11" s="108"/>
      <c r="CX11" s="121">
        <f t="shared" si="15"/>
        <v>8.769764612470832</v>
      </c>
      <c r="CY11" s="106">
        <v>4445.1327815460645</v>
      </c>
      <c r="CZ11" s="106">
        <v>6.800785070839144</v>
      </c>
      <c r="DA11" s="106">
        <v>1661.2880754453267</v>
      </c>
      <c r="DB11" s="106">
        <v>17.684605099382846</v>
      </c>
      <c r="DC11" s="106">
        <v>14.675850610926771</v>
      </c>
      <c r="DD11" s="106">
        <v>2652.6923748079635</v>
      </c>
      <c r="DE11" s="46">
        <f t="shared" si="16"/>
        <v>1905.1670093871198</v>
      </c>
      <c r="DF11" s="106">
        <v>69.96892437506071</v>
      </c>
      <c r="DH11" s="121">
        <v>405.4013694951463</v>
      </c>
      <c r="DI11" s="121">
        <v>2562.1467266574687</v>
      </c>
      <c r="DJ11" s="121">
        <v>2967.548096152615</v>
      </c>
      <c r="DK11" s="121">
        <f t="shared" si="44"/>
        <v>1010.3273557936109</v>
      </c>
      <c r="DL11" s="121">
        <f t="shared" si="45"/>
        <v>7696.827402540133</v>
      </c>
      <c r="DM11" s="121"/>
      <c r="DN11" s="121"/>
      <c r="DO11" s="121"/>
      <c r="DP11" s="121"/>
      <c r="DQ11" s="121">
        <f t="shared" si="46"/>
        <v>8707.154758333745</v>
      </c>
      <c r="DR11" s="121">
        <f t="shared" si="47"/>
        <v>8.707154758333745</v>
      </c>
      <c r="DS11" s="121">
        <v>374.6045217143704</v>
      </c>
      <c r="DT11" s="121">
        <v>-37.46045217143704</v>
      </c>
      <c r="DU11" s="121">
        <v>374.6045217143704</v>
      </c>
      <c r="DV11" s="121">
        <v>18.623842376354904</v>
      </c>
      <c r="DW11" s="121">
        <v>-1.8623842376354904</v>
      </c>
      <c r="DX11" s="121">
        <v>18.623842376354904</v>
      </c>
      <c r="DY11" s="122">
        <f t="shared" si="17"/>
        <v>3.3807508833374023</v>
      </c>
      <c r="DZ11" s="122">
        <f t="shared" si="18"/>
        <v>-98.19910115995633</v>
      </c>
      <c r="EA11" s="121">
        <f t="shared" si="48"/>
        <v>3.3807508833374023</v>
      </c>
      <c r="EB11" s="121">
        <v>38.44657091303287</v>
      </c>
      <c r="EC11" s="121">
        <f t="shared" si="49"/>
        <v>-10.201593426384683</v>
      </c>
      <c r="ED11" s="121">
        <v>249.3119942791756</v>
      </c>
      <c r="EE11" s="121">
        <f t="shared" si="50"/>
        <v>-58.14561291972066</v>
      </c>
      <c r="EF11" s="121">
        <v>287.7585651922085</v>
      </c>
      <c r="EG11" s="121"/>
      <c r="EH11" s="121">
        <v>88.81679430523555</v>
      </c>
      <c r="EI11" s="121">
        <f t="shared" si="51"/>
        <v>73.33449766026254</v>
      </c>
      <c r="EJ11" s="121">
        <v>730.1167663267983</v>
      </c>
      <c r="EK11" s="121">
        <f t="shared" si="52"/>
        <v>632.2682669015085</v>
      </c>
      <c r="EL11" s="121">
        <v>818.9335606320338</v>
      </c>
      <c r="EM11" s="121">
        <f>IF(EI11&gt;0,EI11,0)+IF(EK11&gt;0,EK11,0)</f>
        <v>705.602764561771</v>
      </c>
      <c r="EO11" s="46">
        <f t="shared" si="19"/>
        <v>1459.6769555941594</v>
      </c>
      <c r="EP11" s="46">
        <f t="shared" si="20"/>
        <v>1002.219328403708</v>
      </c>
      <c r="EQ11" s="121">
        <f t="shared" si="58"/>
        <v>374.6045217143704</v>
      </c>
      <c r="ER11" s="106">
        <f t="shared" si="59"/>
        <v>329.8518316675802</v>
      </c>
      <c r="ES11" s="106">
        <f t="shared" si="60"/>
        <v>69.22713471812204</v>
      </c>
      <c r="ET11" s="106"/>
      <c r="EU11" s="123">
        <v>66.03936101976237</v>
      </c>
      <c r="EV11" s="123">
        <v>1711.5238469319024</v>
      </c>
      <c r="EW11" s="123"/>
      <c r="EX11" s="123"/>
      <c r="EY11" s="124">
        <f t="shared" si="21"/>
        <v>2.487428571428571</v>
      </c>
      <c r="EZ11" s="124">
        <f t="shared" si="53"/>
        <v>4.228628571428571</v>
      </c>
      <c r="FA11" s="124">
        <f t="shared" si="22"/>
        <v>5.013142980049606</v>
      </c>
      <c r="FB11" s="121">
        <f t="shared" si="23"/>
        <v>3.301619133117703</v>
      </c>
      <c r="FC11" s="109">
        <f t="shared" si="24"/>
        <v>2.015391733307331</v>
      </c>
      <c r="FD11" s="109">
        <f t="shared" si="25"/>
        <v>1.3273221876765406</v>
      </c>
      <c r="FE11" s="109">
        <f t="shared" si="26"/>
        <v>29.117002275879944</v>
      </c>
      <c r="FF11" s="109">
        <f t="shared" si="27"/>
        <v>19.991836107451114</v>
      </c>
      <c r="FG11" s="109">
        <f t="shared" si="28"/>
        <v>7.472448386274902</v>
      </c>
      <c r="FH11" s="109">
        <f t="shared" si="29"/>
        <v>6.579741152013108</v>
      </c>
      <c r="FI11" s="109">
        <f t="shared" si="30"/>
        <v>1.3809128324011422</v>
      </c>
      <c r="FJ11" s="109">
        <f t="shared" si="31"/>
        <v>1.3173245064538113</v>
      </c>
      <c r="FK11" s="109">
        <f t="shared" si="32"/>
        <v>34.14073473952595</v>
      </c>
      <c r="FL11" s="109">
        <f t="shared" si="33"/>
        <v>44.21094307797379</v>
      </c>
      <c r="FM11" s="109">
        <f t="shared" si="34"/>
        <v>30.355388916628826</v>
      </c>
      <c r="FN11" s="109">
        <f t="shared" si="35"/>
        <v>11.346085257285054</v>
      </c>
      <c r="FO11" s="109">
        <f t="shared" si="36"/>
        <v>9.990608194595199</v>
      </c>
      <c r="FP11" s="109">
        <f t="shared" si="37"/>
        <v>2.0967631918449414</v>
      </c>
      <c r="FQ11" s="123"/>
      <c r="FR11" s="121">
        <f t="shared" si="54"/>
        <v>49.62283621474745</v>
      </c>
      <c r="FS11" s="121">
        <f t="shared" si="55"/>
        <v>153.6984098424351</v>
      </c>
      <c r="FT11" s="106">
        <f t="shared" si="38"/>
        <v>46.43160862546493</v>
      </c>
      <c r="FU11" s="106">
        <f t="shared" si="39"/>
        <v>165.71959195265285</v>
      </c>
      <c r="FV11" s="106">
        <f t="shared" si="56"/>
        <v>0.9356903427391335</v>
      </c>
      <c r="FW11" s="106">
        <f t="shared" si="57"/>
        <v>1.078212794280314</v>
      </c>
    </row>
    <row r="12" spans="1:179" s="130" customFormat="1" ht="12.75">
      <c r="A12" s="125">
        <v>195.83333333333334</v>
      </c>
      <c r="B12" s="126">
        <v>110</v>
      </c>
      <c r="C12" s="126">
        <v>330</v>
      </c>
      <c r="D12" s="126" t="s">
        <v>127</v>
      </c>
      <c r="E12" s="127">
        <v>2</v>
      </c>
      <c r="F12" s="128">
        <v>36479.649305555555</v>
      </c>
      <c r="G12" s="128">
        <v>36480.65277777778</v>
      </c>
      <c r="H12" s="127"/>
      <c r="I12" s="129">
        <v>13.633333333333333</v>
      </c>
      <c r="J12" s="130">
        <v>-17.983333333333334</v>
      </c>
      <c r="K12" s="129">
        <v>8.4</v>
      </c>
      <c r="L12" s="130">
        <v>-16.89</v>
      </c>
      <c r="M12" s="131">
        <v>4.211458333333335</v>
      </c>
      <c r="N12" s="131">
        <v>3.9404347826086963</v>
      </c>
      <c r="O12" s="131">
        <v>0.8051219410242856</v>
      </c>
      <c r="P12" s="131">
        <v>0.9690913833010215</v>
      </c>
      <c r="Q12" s="131"/>
      <c r="R12" s="153">
        <v>24.13150000009721</v>
      </c>
      <c r="S12" s="131"/>
      <c r="T12" s="131">
        <f t="shared" si="0"/>
        <v>4.57069691511293</v>
      </c>
      <c r="U12" s="131">
        <v>27.988634437995533</v>
      </c>
      <c r="V12" s="131">
        <v>4.874301620601739</v>
      </c>
      <c r="W12" s="131">
        <v>17.431789318920913</v>
      </c>
      <c r="X12" s="131">
        <v>0</v>
      </c>
      <c r="Y12" s="131">
        <v>421.28930890776843</v>
      </c>
      <c r="Z12" s="131">
        <v>0</v>
      </c>
      <c r="AA12" s="106">
        <f t="shared" si="1"/>
        <v>3.394701905420707</v>
      </c>
      <c r="AB12" s="106">
        <f t="shared" si="40"/>
        <v>100</v>
      </c>
      <c r="AC12" s="131">
        <v>696.1371323939427</v>
      </c>
      <c r="AD12" s="131">
        <v>12.463713600430491</v>
      </c>
      <c r="AE12" s="131">
        <v>31.282302753075772</v>
      </c>
      <c r="AF12" s="131">
        <v>28.67390938987038</v>
      </c>
      <c r="AG12" s="131">
        <v>1844.2442021752618</v>
      </c>
      <c r="AH12" s="130">
        <f t="shared" si="2"/>
        <v>1706.47899796816</v>
      </c>
      <c r="AI12" s="131">
        <v>148.94399911821992</v>
      </c>
      <c r="AJ12" s="131"/>
      <c r="AK12" s="131"/>
      <c r="AL12" s="131">
        <v>187.8973593453209</v>
      </c>
      <c r="AM12" s="131">
        <v>1.8325517361972559</v>
      </c>
      <c r="AN12" s="131">
        <v>74.24924048581823</v>
      </c>
      <c r="AO12" s="131">
        <v>5.9857217513980725</v>
      </c>
      <c r="AP12" s="131">
        <v>0.9139736674250135</v>
      </c>
      <c r="AQ12" s="131">
        <v>27.793442027098514</v>
      </c>
      <c r="AR12" s="131">
        <v>3.0887714909157356</v>
      </c>
      <c r="AS12" s="131"/>
      <c r="AT12" s="131">
        <f t="shared" si="41"/>
        <v>17.431789318920913</v>
      </c>
      <c r="AU12" s="131">
        <v>609.1866682530894</v>
      </c>
      <c r="AV12" s="131">
        <v>1.8325517361972559</v>
      </c>
      <c r="AW12" s="131">
        <v>770.386372879761</v>
      </c>
      <c r="AX12" s="131">
        <v>37.26802450447384</v>
      </c>
      <c r="AY12" s="131">
        <v>29.587883057295397</v>
      </c>
      <c r="AZ12" s="131">
        <v>1872.0376442023603</v>
      </c>
      <c r="BA12" s="131">
        <v>152.03277060913567</v>
      </c>
      <c r="BB12" s="131"/>
      <c r="BC12" s="131">
        <v>80.12871912424751</v>
      </c>
      <c r="BD12" s="131">
        <v>3.05093221851618</v>
      </c>
      <c r="BE12" s="131">
        <v>-1.7431789318920914</v>
      </c>
      <c r="BF12" s="131">
        <v>0</v>
      </c>
      <c r="BG12" s="131">
        <v>778.3118421019562</v>
      </c>
      <c r="BH12" s="131">
        <v>0</v>
      </c>
      <c r="BI12" s="106">
        <f t="shared" si="42"/>
        <v>3.5983479623041017</v>
      </c>
      <c r="BJ12" s="106">
        <f t="shared" si="43"/>
        <v>100</v>
      </c>
      <c r="BK12" s="131">
        <v>224.43359195963217</v>
      </c>
      <c r="BL12" s="131">
        <v>-1.2463713600430493</v>
      </c>
      <c r="BM12" s="131">
        <v>-1.248943865435944</v>
      </c>
      <c r="BN12" s="131">
        <v>-0.40943618753101285</v>
      </c>
      <c r="BO12" s="131">
        <v>-15.126379633725435</v>
      </c>
      <c r="BP12" s="132">
        <v>0</v>
      </c>
      <c r="BQ12" s="131">
        <v>-6.197615062087127</v>
      </c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>
        <v>108.11735356224303</v>
      </c>
      <c r="CG12" s="131">
        <v>7.925233839117919</v>
      </c>
      <c r="CH12" s="131">
        <f t="shared" si="4"/>
        <v>17.431789318920913</v>
      </c>
      <c r="CI12" s="131">
        <f t="shared" si="5"/>
        <v>0</v>
      </c>
      <c r="CJ12" s="131">
        <f t="shared" si="6"/>
        <v>1199.6011510097246</v>
      </c>
      <c r="CK12" s="131">
        <f t="shared" si="7"/>
        <v>0</v>
      </c>
      <c r="CL12" s="131">
        <f t="shared" si="8"/>
        <v>920.5707243535749</v>
      </c>
      <c r="CM12" s="131">
        <f t="shared" si="9"/>
        <v>11.217342240387442</v>
      </c>
      <c r="CN12" s="131">
        <f t="shared" si="10"/>
        <v>30.033358887639828</v>
      </c>
      <c r="CO12" s="131">
        <f t="shared" si="11"/>
        <v>28.264473202339367</v>
      </c>
      <c r="CP12" s="131">
        <f t="shared" si="12"/>
        <v>1844.2442021752618</v>
      </c>
      <c r="CQ12" s="121">
        <f t="shared" si="13"/>
        <v>1560.4493448067296</v>
      </c>
      <c r="CR12" s="131">
        <f t="shared" si="14"/>
        <v>142.7463840561328</v>
      </c>
      <c r="CS12" s="131"/>
      <c r="CT12" s="131"/>
      <c r="CU12" s="131"/>
      <c r="CV12" s="131"/>
      <c r="CW12" s="131"/>
      <c r="CX12" s="132">
        <f t="shared" si="15"/>
        <v>17.431789318920913</v>
      </c>
      <c r="CY12" s="131">
        <v>1387.4985103550457</v>
      </c>
      <c r="CZ12" s="131">
        <v>1.8325517361972559</v>
      </c>
      <c r="DA12" s="131">
        <v>994.8199648393932</v>
      </c>
      <c r="DB12" s="131">
        <v>36.019080639037895</v>
      </c>
      <c r="DC12" s="131">
        <v>29.178446869764382</v>
      </c>
      <c r="DD12" s="131">
        <v>1856.9112645686348</v>
      </c>
      <c r="DE12" s="130">
        <f t="shared" si="16"/>
        <v>1573.1164072001027</v>
      </c>
      <c r="DF12" s="131">
        <v>145.83515554704854</v>
      </c>
      <c r="DH12" s="132">
        <v>546.9043438154097</v>
      </c>
      <c r="DI12" s="132">
        <v>579.7127954006766</v>
      </c>
      <c r="DJ12" s="132">
        <v>1126.6171392160861</v>
      </c>
      <c r="DK12" s="121">
        <f t="shared" si="44"/>
        <v>1225.2386943164206</v>
      </c>
      <c r="DL12" s="121">
        <f t="shared" si="45"/>
        <v>1630.4896513409508</v>
      </c>
      <c r="DM12" s="132"/>
      <c r="DN12" s="132"/>
      <c r="DO12" s="132"/>
      <c r="DP12" s="132"/>
      <c r="DQ12" s="132">
        <f t="shared" si="46"/>
        <v>2855.7283456573714</v>
      </c>
      <c r="DR12" s="132">
        <f t="shared" si="47"/>
        <v>2.855728345657371</v>
      </c>
      <c r="DS12" s="132">
        <v>406.819570479314</v>
      </c>
      <c r="DT12" s="132">
        <v>-39.55469199168167</v>
      </c>
      <c r="DU12" s="132">
        <v>406.819570479314</v>
      </c>
      <c r="DV12" s="132">
        <v>181.53277113801778</v>
      </c>
      <c r="DW12" s="132">
        <v>-18.153277113801778</v>
      </c>
      <c r="DX12" s="132">
        <v>181.53277113801778</v>
      </c>
      <c r="DY12" s="133">
        <f t="shared" si="17"/>
        <v>160.96916781055836</v>
      </c>
      <c r="DZ12" s="133">
        <f t="shared" si="18"/>
        <v>-39.95047822086722</v>
      </c>
      <c r="EA12" s="132">
        <f t="shared" si="48"/>
        <v>160.96916781055836</v>
      </c>
      <c r="EB12" s="132">
        <v>40.79946984923719</v>
      </c>
      <c r="EC12" s="132">
        <f t="shared" si="49"/>
        <v>-24.829051408611967</v>
      </c>
      <c r="ED12" s="132">
        <v>42.91684725203551</v>
      </c>
      <c r="EE12" s="132">
        <f t="shared" si="50"/>
        <v>-26.64868819604567</v>
      </c>
      <c r="EF12" s="132">
        <v>83.7163171012727</v>
      </c>
      <c r="EG12" s="132"/>
      <c r="EH12" s="132">
        <v>69.12401641815342</v>
      </c>
      <c r="EI12" s="132">
        <f t="shared" si="51"/>
        <v>48.23771478104003</v>
      </c>
      <c r="EJ12" s="132">
        <v>51.55142296069867</v>
      </c>
      <c r="EK12" s="132">
        <f t="shared" si="52"/>
        <v>29.412165072998626</v>
      </c>
      <c r="EL12" s="132">
        <v>120.67543937885209</v>
      </c>
      <c r="EM12" s="132">
        <f>IF(EI12&gt;0,EI12,0)+IF(EK12&gt;0,EK12,0)</f>
        <v>77.64987985403866</v>
      </c>
      <c r="EO12" s="130">
        <f t="shared" si="19"/>
        <v>1706.47899796816</v>
      </c>
      <c r="EP12" s="130">
        <f t="shared" si="20"/>
        <v>1214.3006074401123</v>
      </c>
      <c r="EQ12" s="132">
        <f t="shared" si="58"/>
        <v>406.819570479314</v>
      </c>
      <c r="ER12" s="131">
        <f t="shared" si="59"/>
        <v>696.1371323939427</v>
      </c>
      <c r="ES12" s="131">
        <f t="shared" si="60"/>
        <v>271.65865023911476</v>
      </c>
      <c r="ET12" s="131"/>
      <c r="EU12" s="134">
        <v>226.75526293007775</v>
      </c>
      <c r="EV12" s="134">
        <v>2294.0498358769237</v>
      </c>
      <c r="EW12" s="134"/>
      <c r="EX12" s="134"/>
      <c r="EY12" s="135">
        <f t="shared" si="21"/>
        <v>4.211458333333335</v>
      </c>
      <c r="EZ12" s="135">
        <f t="shared" si="53"/>
        <v>7.159479166666669</v>
      </c>
      <c r="FA12" s="135">
        <f t="shared" si="22"/>
        <v>6.816200057327645</v>
      </c>
      <c r="FB12" s="132">
        <f t="shared" si="23"/>
        <v>4.522150221450722</v>
      </c>
      <c r="FC12" s="136">
        <f t="shared" si="24"/>
        <v>1.618489254275176</v>
      </c>
      <c r="FD12" s="136">
        <f t="shared" si="25"/>
        <v>1.0737729934683877</v>
      </c>
      <c r="FE12" s="136">
        <f t="shared" si="26"/>
        <v>25.0356354510698</v>
      </c>
      <c r="FF12" s="136">
        <f t="shared" si="27"/>
        <v>17.814920296165578</v>
      </c>
      <c r="FG12" s="136">
        <f t="shared" si="28"/>
        <v>5.968421804785046</v>
      </c>
      <c r="FH12" s="136">
        <f t="shared" si="29"/>
        <v>10.21297976202403</v>
      </c>
      <c r="FI12" s="136">
        <f t="shared" si="30"/>
        <v>3.9854852843861672</v>
      </c>
      <c r="FJ12" s="136">
        <f t="shared" si="31"/>
        <v>3.326710792273595</v>
      </c>
      <c r="FK12" s="136">
        <f t="shared" si="32"/>
        <v>33.655846609295786</v>
      </c>
      <c r="FL12" s="136">
        <f t="shared" si="33"/>
        <v>37.736008633094805</v>
      </c>
      <c r="FM12" s="136">
        <f t="shared" si="34"/>
        <v>26.852283714063805</v>
      </c>
      <c r="FN12" s="136">
        <f t="shared" si="35"/>
        <v>8.996153390693971</v>
      </c>
      <c r="FO12" s="136">
        <f t="shared" si="36"/>
        <v>15.39394089766924</v>
      </c>
      <c r="FP12" s="136">
        <f t="shared" si="37"/>
        <v>6.007289385268713</v>
      </c>
      <c r="FQ12" s="134"/>
      <c r="FR12" s="121">
        <f t="shared" si="54"/>
        <v>61.70056947182475</v>
      </c>
      <c r="FS12" s="121">
        <f t="shared" si="55"/>
        <v>25.210691725868223</v>
      </c>
      <c r="FT12" s="106">
        <f t="shared" si="38"/>
        <v>57.75438182823854</v>
      </c>
      <c r="FU12" s="106">
        <f t="shared" si="39"/>
        <v>28.552871543682883</v>
      </c>
      <c r="FV12" s="106">
        <f t="shared" si="56"/>
        <v>0.9360429299540224</v>
      </c>
      <c r="FW12" s="106">
        <f t="shared" si="57"/>
        <v>1.1325699371582618</v>
      </c>
    </row>
    <row r="13" spans="1:179" s="130" customFormat="1" ht="12.75">
      <c r="A13" s="125">
        <v>386.6666666666667</v>
      </c>
      <c r="B13" s="126">
        <v>330</v>
      </c>
      <c r="C13" s="126">
        <v>440</v>
      </c>
      <c r="D13" s="126" t="s">
        <v>128</v>
      </c>
      <c r="E13" s="127">
        <v>2</v>
      </c>
      <c r="F13" s="128">
        <v>36480.65972222222</v>
      </c>
      <c r="G13" s="128">
        <v>36481.63888888889</v>
      </c>
      <c r="H13" s="127"/>
      <c r="I13" s="129">
        <v>8.4</v>
      </c>
      <c r="J13" s="130">
        <v>-16.883333333333333</v>
      </c>
      <c r="K13" s="129">
        <v>4.208333333333333</v>
      </c>
      <c r="L13" s="130">
        <v>-14.9</v>
      </c>
      <c r="M13" s="131">
        <v>3.776875</v>
      </c>
      <c r="N13" s="131">
        <v>3.3156410256410256</v>
      </c>
      <c r="O13" s="131">
        <v>0.8032961098017749</v>
      </c>
      <c r="P13" s="131">
        <v>0.736407448689067</v>
      </c>
      <c r="Q13" s="131"/>
      <c r="R13" s="153">
        <v>23.547000000116647</v>
      </c>
      <c r="S13" s="131"/>
      <c r="T13" s="131">
        <f t="shared" si="0"/>
        <v>3.2358410588055166</v>
      </c>
      <c r="U13" s="131">
        <v>0</v>
      </c>
      <c r="V13" s="131">
        <v>5.3358831246095075</v>
      </c>
      <c r="W13" s="131">
        <v>18.295870240332118</v>
      </c>
      <c r="X13" s="131">
        <v>0</v>
      </c>
      <c r="Y13" s="131">
        <v>39.170057300046565</v>
      </c>
      <c r="Z13" s="131">
        <v>2.7260728519185653</v>
      </c>
      <c r="AA13" s="106">
        <f t="shared" si="1"/>
        <v>1.0139312858140788</v>
      </c>
      <c r="AB13" s="106">
        <f t="shared" si="40"/>
        <v>-168.86169605959236</v>
      </c>
      <c r="AC13" s="131">
        <v>58.438935485896</v>
      </c>
      <c r="AD13" s="131">
        <v>8.05245301355467</v>
      </c>
      <c r="AE13" s="131">
        <v>34.29311589569796</v>
      </c>
      <c r="AF13" s="131">
        <v>9.158986990512519</v>
      </c>
      <c r="AG13" s="131">
        <v>2069.8704635649337</v>
      </c>
      <c r="AH13" s="130">
        <f t="shared" si="2"/>
        <v>2028.7226825420712</v>
      </c>
      <c r="AI13" s="131">
        <v>89.08272831419289</v>
      </c>
      <c r="AJ13" s="131"/>
      <c r="AK13" s="131"/>
      <c r="AL13" s="131">
        <v>180.23851177974865</v>
      </c>
      <c r="AM13" s="131">
        <v>0</v>
      </c>
      <c r="AN13" s="131">
        <v>48.51774580562624</v>
      </c>
      <c r="AO13" s="131">
        <v>6.599094954266748</v>
      </c>
      <c r="AP13" s="131">
        <v>2.0711126701576785</v>
      </c>
      <c r="AQ13" s="131">
        <v>67.91743870436603</v>
      </c>
      <c r="AR13" s="131">
        <v>1.0700197670799143</v>
      </c>
      <c r="AS13" s="131"/>
      <c r="AT13" s="131">
        <f t="shared" si="41"/>
        <v>18.295870240332118</v>
      </c>
      <c r="AU13" s="131">
        <v>219.4085690797952</v>
      </c>
      <c r="AV13" s="131">
        <v>2.7260728519185653</v>
      </c>
      <c r="AW13" s="131">
        <v>106.95668129152224</v>
      </c>
      <c r="AX13" s="131">
        <v>40.892210849964705</v>
      </c>
      <c r="AY13" s="131">
        <v>11.230099660670197</v>
      </c>
      <c r="AZ13" s="131">
        <v>2137.7879022692996</v>
      </c>
      <c r="BA13" s="131">
        <v>90.1527480812728</v>
      </c>
      <c r="BB13" s="131"/>
      <c r="BC13" s="131">
        <v>42.617614080091634</v>
      </c>
      <c r="BD13" s="131">
        <v>0.7500636891559217</v>
      </c>
      <c r="BE13" s="131">
        <v>1.0722455051965252</v>
      </c>
      <c r="BF13" s="131">
        <v>0</v>
      </c>
      <c r="BG13" s="131">
        <v>1926.4060286089227</v>
      </c>
      <c r="BH13" s="131">
        <v>-0.27260728519185656</v>
      </c>
      <c r="BI13" s="106">
        <f t="shared" si="42"/>
        <v>8.95968553253753</v>
      </c>
      <c r="BJ13" s="106">
        <f t="shared" si="43"/>
        <v>103.04259880775804</v>
      </c>
      <c r="BK13" s="131">
        <v>822.7182878839599</v>
      </c>
      <c r="BL13" s="131">
        <v>5.288949288158659</v>
      </c>
      <c r="BM13" s="131">
        <v>9.92270777588833</v>
      </c>
      <c r="BN13" s="131">
        <v>6.405628459361538</v>
      </c>
      <c r="BO13" s="131">
        <v>336.4150805391222</v>
      </c>
      <c r="BP13" s="132">
        <v>0</v>
      </c>
      <c r="BQ13" s="131">
        <v>35.89281447150662</v>
      </c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>
        <f aca="true" t="shared" si="61" ref="CF13:CF27">U13+BC13</f>
        <v>42.617614080091634</v>
      </c>
      <c r="CG13" s="131">
        <f aca="true" t="shared" si="62" ref="CG13:CG27">V13+BD13</f>
        <v>6.085946813765429</v>
      </c>
      <c r="CH13" s="131">
        <f t="shared" si="4"/>
        <v>19.36811574552864</v>
      </c>
      <c r="CI13" s="131">
        <f t="shared" si="5"/>
        <v>0</v>
      </c>
      <c r="CJ13" s="131">
        <f t="shared" si="6"/>
        <v>1965.5760859089694</v>
      </c>
      <c r="CK13" s="131">
        <f t="shared" si="7"/>
        <v>2.7260728519185653</v>
      </c>
      <c r="CL13" s="131">
        <f t="shared" si="8"/>
        <v>881.1572233698558</v>
      </c>
      <c r="CM13" s="131">
        <f t="shared" si="9"/>
        <v>13.34140230171333</v>
      </c>
      <c r="CN13" s="131">
        <f t="shared" si="10"/>
        <v>44.21582367158629</v>
      </c>
      <c r="CO13" s="131">
        <f t="shared" si="11"/>
        <v>15.564615449874058</v>
      </c>
      <c r="CP13" s="131">
        <f t="shared" si="12"/>
        <v>2406.285544104056</v>
      </c>
      <c r="CQ13" s="121">
        <f t="shared" si="13"/>
        <v>2001.5320794568233</v>
      </c>
      <c r="CR13" s="131">
        <f t="shared" si="14"/>
        <v>124.9755427856995</v>
      </c>
      <c r="CS13" s="131"/>
      <c r="CT13" s="131"/>
      <c r="CU13" s="131"/>
      <c r="CV13" s="131"/>
      <c r="CW13" s="131"/>
      <c r="CX13" s="132">
        <f t="shared" si="15"/>
        <v>19.36811574552864</v>
      </c>
      <c r="CY13" s="131">
        <v>2145.814597688718</v>
      </c>
      <c r="CZ13" s="131">
        <v>2.4534655667267087</v>
      </c>
      <c r="DA13" s="131">
        <v>929.6749691754821</v>
      </c>
      <c r="DB13" s="131">
        <v>50.81491862585304</v>
      </c>
      <c r="DC13" s="131">
        <v>17.635728120031736</v>
      </c>
      <c r="DD13" s="131">
        <v>2474.202982808422</v>
      </c>
      <c r="DE13" s="130">
        <f t="shared" si="16"/>
        <v>2069.449518161189</v>
      </c>
      <c r="DF13" s="131">
        <v>126.04556255277942</v>
      </c>
      <c r="DH13" s="132">
        <v>163.34966662509973</v>
      </c>
      <c r="DI13" s="132">
        <v>1443.4524955314412</v>
      </c>
      <c r="DJ13" s="132">
        <v>1606.802162156541</v>
      </c>
      <c r="DK13" s="121">
        <f t="shared" si="44"/>
        <v>279.29406723894317</v>
      </c>
      <c r="DL13" s="121">
        <f t="shared" si="45"/>
        <v>4048.281197040141</v>
      </c>
      <c r="DM13" s="132"/>
      <c r="DN13" s="132"/>
      <c r="DO13" s="132"/>
      <c r="DP13" s="132"/>
      <c r="DQ13" s="132">
        <f t="shared" si="46"/>
        <v>4327.575264279084</v>
      </c>
      <c r="DR13" s="132">
        <f t="shared" si="47"/>
        <v>4.327575264279084</v>
      </c>
      <c r="DS13" s="132">
        <v>603.8064188191753</v>
      </c>
      <c r="DT13" s="132">
        <v>-49.179228557982704</v>
      </c>
      <c r="DU13" s="132">
        <v>603.8064188191753</v>
      </c>
      <c r="DV13" s="132">
        <v>272.6235565274948</v>
      </c>
      <c r="DW13" s="132">
        <v>-24.315014152519893</v>
      </c>
      <c r="DX13" s="132">
        <v>272.6235565274948</v>
      </c>
      <c r="DY13" s="133">
        <f t="shared" si="17"/>
        <v>266.4816090623911</v>
      </c>
      <c r="DZ13" s="133">
        <f t="shared" si="18"/>
        <v>-78.58882798450207</v>
      </c>
      <c r="EA13" s="132">
        <f t="shared" si="48"/>
        <v>266.4816090623911</v>
      </c>
      <c r="EB13" s="132">
        <v>17.10899230059757</v>
      </c>
      <c r="EC13" s="132">
        <f t="shared" si="49"/>
        <v>-2.4929676944143964</v>
      </c>
      <c r="ED13" s="132">
        <v>105.55338800106261</v>
      </c>
      <c r="EE13" s="132">
        <f t="shared" si="50"/>
        <v>-67.66091146271032</v>
      </c>
      <c r="EF13" s="132">
        <v>122.66238030166019</v>
      </c>
      <c r="EG13" s="132"/>
      <c r="EH13" s="132">
        <v>18.898547190454362</v>
      </c>
      <c r="EI13" s="132">
        <f t="shared" si="51"/>
        <v>12.660216030654173</v>
      </c>
      <c r="EJ13" s="132">
        <v>78.01519149838903</v>
      </c>
      <c r="EK13" s="132">
        <f t="shared" si="52"/>
        <v>22.88967537945073</v>
      </c>
      <c r="EL13" s="132">
        <v>96.9137386888434</v>
      </c>
      <c r="EM13" s="132">
        <f>IF(EI13&gt;0,EI13,0)+IF(EK13&gt;0,EK13,0)</f>
        <v>35.549891410104905</v>
      </c>
      <c r="EO13" s="130">
        <f t="shared" si="19"/>
        <v>2028.7226825420712</v>
      </c>
      <c r="EP13" s="130">
        <f t="shared" si="20"/>
        <v>276.02707390644116</v>
      </c>
      <c r="EQ13" s="132">
        <f t="shared" si="58"/>
        <v>603.8064188191753</v>
      </c>
      <c r="ER13" s="131">
        <f t="shared" si="59"/>
        <v>58.438935485896</v>
      </c>
      <c r="ES13" s="131">
        <f t="shared" si="60"/>
        <v>166.9451104308182</v>
      </c>
      <c r="ET13" s="131"/>
      <c r="EU13" s="134">
        <v>257.78271686271205</v>
      </c>
      <c r="EV13" s="134">
        <v>2249.8612603389424</v>
      </c>
      <c r="EW13" s="134"/>
      <c r="EX13" s="134"/>
      <c r="EY13" s="135">
        <f t="shared" si="21"/>
        <v>3.776875</v>
      </c>
      <c r="EZ13" s="135">
        <f t="shared" si="53"/>
        <v>6.4206875</v>
      </c>
      <c r="FA13" s="135">
        <f t="shared" si="22"/>
        <v>5.641584198386055</v>
      </c>
      <c r="FB13" s="132">
        <f t="shared" si="23"/>
        <v>3.3917229380471134</v>
      </c>
      <c r="FC13" s="136">
        <f t="shared" si="24"/>
        <v>1.4937174776464817</v>
      </c>
      <c r="FD13" s="136">
        <f t="shared" si="25"/>
        <v>0.8980236142438163</v>
      </c>
      <c r="FE13" s="136">
        <f t="shared" si="26"/>
        <v>35.96015961478423</v>
      </c>
      <c r="FF13" s="136">
        <f t="shared" si="27"/>
        <v>4.89272275658683</v>
      </c>
      <c r="FG13" s="136">
        <f t="shared" si="28"/>
        <v>10.702781303732243</v>
      </c>
      <c r="FH13" s="136">
        <f t="shared" si="29"/>
        <v>1.035860379476641</v>
      </c>
      <c r="FI13" s="136">
        <f t="shared" si="30"/>
        <v>2.959188493164347</v>
      </c>
      <c r="FJ13" s="136">
        <f t="shared" si="31"/>
        <v>4.5693320847087335</v>
      </c>
      <c r="FK13" s="136">
        <f t="shared" si="32"/>
        <v>39.879955367547</v>
      </c>
      <c r="FL13" s="136">
        <f t="shared" si="33"/>
        <v>59.813927009915766</v>
      </c>
      <c r="FM13" s="136">
        <f t="shared" si="34"/>
        <v>8.13825536308022</v>
      </c>
      <c r="FN13" s="136">
        <f t="shared" si="35"/>
        <v>17.8023508950538</v>
      </c>
      <c r="FO13" s="136">
        <f t="shared" si="36"/>
        <v>1.7229867106876358</v>
      </c>
      <c r="FP13" s="136">
        <f t="shared" si="37"/>
        <v>4.922132894703418</v>
      </c>
      <c r="FQ13" s="134"/>
      <c r="FR13" s="121">
        <f t="shared" si="54"/>
        <v>45.36083480341735</v>
      </c>
      <c r="FS13" s="121">
        <f t="shared" si="55"/>
        <v>74.55454266296728</v>
      </c>
      <c r="FT13" s="106">
        <f t="shared" si="38"/>
        <v>49.95095481083196</v>
      </c>
      <c r="FU13" s="106">
        <f t="shared" si="39"/>
        <v>71.74819350286634</v>
      </c>
      <c r="FV13" s="106">
        <f t="shared" si="56"/>
        <v>1.101191259537155</v>
      </c>
      <c r="FW13" s="106">
        <f t="shared" si="57"/>
        <v>0.9623584417546845</v>
      </c>
    </row>
    <row r="14" spans="1:179" s="130" customFormat="1" ht="12.75">
      <c r="A14" s="125">
        <v>499</v>
      </c>
      <c r="B14" s="126">
        <v>440</v>
      </c>
      <c r="C14" s="126">
        <v>575</v>
      </c>
      <c r="D14" s="126" t="s">
        <v>129</v>
      </c>
      <c r="E14" s="127">
        <v>2</v>
      </c>
      <c r="F14" s="128">
        <v>36481.70138888889</v>
      </c>
      <c r="G14" s="128">
        <v>36482.510416666664</v>
      </c>
      <c r="H14" s="127"/>
      <c r="I14" s="129">
        <v>4.1</v>
      </c>
      <c r="J14" s="130">
        <v>-14.766666666666667</v>
      </c>
      <c r="K14" s="129">
        <v>0.8666666666666667</v>
      </c>
      <c r="L14" s="130">
        <v>-12.158333333333333</v>
      </c>
      <c r="M14" s="131">
        <v>2.7352631578947366</v>
      </c>
      <c r="N14" s="131">
        <v>2.7352631578947366</v>
      </c>
      <c r="O14" s="131">
        <v>0.5063325997716713</v>
      </c>
      <c r="P14" s="131">
        <v>0.5063325997716713</v>
      </c>
      <c r="Q14" s="131"/>
      <c r="R14" s="153">
        <v>19.455499999902795</v>
      </c>
      <c r="S14" s="131"/>
      <c r="T14" s="131">
        <f t="shared" si="0"/>
        <v>4.15993781400171</v>
      </c>
      <c r="U14" s="131">
        <v>63.90249686860781</v>
      </c>
      <c r="V14" s="131">
        <v>8.52720387596585</v>
      </c>
      <c r="W14" s="131">
        <v>35.72267079827392</v>
      </c>
      <c r="X14" s="131">
        <v>0</v>
      </c>
      <c r="Y14" s="131">
        <v>481.85518982041896</v>
      </c>
      <c r="Z14" s="131">
        <v>3.1562110731484743</v>
      </c>
      <c r="AA14" s="106">
        <f t="shared" si="1"/>
        <v>3.046232942295751</v>
      </c>
      <c r="AB14" s="106">
        <f t="shared" si="40"/>
        <v>-3.6102994398662025</v>
      </c>
      <c r="AC14" s="131">
        <v>144.46032256440066</v>
      </c>
      <c r="AD14" s="131">
        <v>7.184486534834682</v>
      </c>
      <c r="AE14" s="131">
        <v>20.254198327337996</v>
      </c>
      <c r="AF14" s="131">
        <v>7.7841455858343975</v>
      </c>
      <c r="AG14" s="131">
        <v>2033.4881825620487</v>
      </c>
      <c r="AH14" s="130">
        <f t="shared" si="2"/>
        <v>1909.8646907062107</v>
      </c>
      <c r="AI14" s="131">
        <v>68.59853650657047</v>
      </c>
      <c r="AJ14" s="131"/>
      <c r="AK14" s="131"/>
      <c r="AL14" s="131">
        <v>191.1381022347643</v>
      </c>
      <c r="AM14" s="131">
        <v>0</v>
      </c>
      <c r="AN14" s="131">
        <v>28.40400026522929</v>
      </c>
      <c r="AO14" s="131">
        <v>2.330121666264258</v>
      </c>
      <c r="AP14" s="131">
        <v>2.3688815327974804</v>
      </c>
      <c r="AQ14" s="131">
        <v>78.05936273395957</v>
      </c>
      <c r="AR14" s="131">
        <v>1.7098911513253652</v>
      </c>
      <c r="AS14" s="131"/>
      <c r="AT14" s="131">
        <f t="shared" si="41"/>
        <v>35.72267079827392</v>
      </c>
      <c r="AU14" s="131">
        <v>672.9932920551832</v>
      </c>
      <c r="AV14" s="131">
        <v>3.1562110731484743</v>
      </c>
      <c r="AW14" s="131">
        <v>172.86432282962994</v>
      </c>
      <c r="AX14" s="131">
        <v>22.584319993602254</v>
      </c>
      <c r="AY14" s="131">
        <v>10.153027118631877</v>
      </c>
      <c r="AZ14" s="131">
        <v>2111.547545296008</v>
      </c>
      <c r="BA14" s="131">
        <v>70.30842765789583</v>
      </c>
      <c r="BB14" s="131"/>
      <c r="BC14" s="131">
        <v>61.13431098880689</v>
      </c>
      <c r="BD14" s="131">
        <v>0.42445446410840226</v>
      </c>
      <c r="BE14" s="131">
        <v>-3.572267079827392</v>
      </c>
      <c r="BF14" s="131">
        <v>0</v>
      </c>
      <c r="BG14" s="131">
        <v>2303.8106151770653</v>
      </c>
      <c r="BH14" s="131">
        <v>-0.31562110731484744</v>
      </c>
      <c r="BI14" s="106">
        <f t="shared" si="42"/>
        <v>9.833591759257109</v>
      </c>
      <c r="BJ14" s="106">
        <f t="shared" si="43"/>
        <v>103.20962182528808</v>
      </c>
      <c r="BK14" s="131">
        <v>509.2249771671055</v>
      </c>
      <c r="BL14" s="131">
        <v>-0.7184486534834682</v>
      </c>
      <c r="BM14" s="131">
        <v>4.381508799304585</v>
      </c>
      <c r="BN14" s="131">
        <v>5.124800470615184</v>
      </c>
      <c r="BO14" s="131">
        <v>989.9058524970749</v>
      </c>
      <c r="BP14" s="132">
        <f>BO14-0.2519*$DI14</f>
        <v>590.8349430189609</v>
      </c>
      <c r="BQ14" s="131">
        <v>20.393004578114837</v>
      </c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>
        <f t="shared" si="61"/>
        <v>125.0368078574147</v>
      </c>
      <c r="CG14" s="131">
        <f t="shared" si="62"/>
        <v>8.951658340074252</v>
      </c>
      <c r="CH14" s="131">
        <f t="shared" si="4"/>
        <v>35.72267079827392</v>
      </c>
      <c r="CI14" s="131">
        <f t="shared" si="5"/>
        <v>0</v>
      </c>
      <c r="CJ14" s="131">
        <f t="shared" si="6"/>
        <v>2785.6658049974844</v>
      </c>
      <c r="CK14" s="131">
        <f t="shared" si="7"/>
        <v>3.1562110731484743</v>
      </c>
      <c r="CL14" s="131">
        <f t="shared" si="8"/>
        <v>653.6852997315061</v>
      </c>
      <c r="CM14" s="131">
        <f t="shared" si="9"/>
        <v>6.466037881351214</v>
      </c>
      <c r="CN14" s="131">
        <f t="shared" si="10"/>
        <v>24.63570712664258</v>
      </c>
      <c r="CO14" s="131">
        <f t="shared" si="11"/>
        <v>12.908946056449581</v>
      </c>
      <c r="CP14" s="131">
        <f t="shared" si="12"/>
        <v>3023.394035059124</v>
      </c>
      <c r="CQ14" s="121">
        <f t="shared" si="13"/>
        <v>2500.6996337251717</v>
      </c>
      <c r="CR14" s="131">
        <f t="shared" si="14"/>
        <v>88.99154108468531</v>
      </c>
      <c r="CS14" s="131"/>
      <c r="CT14" s="131"/>
      <c r="CU14" s="131"/>
      <c r="CV14" s="131"/>
      <c r="CW14" s="131"/>
      <c r="CX14" s="132">
        <f t="shared" si="15"/>
        <v>35.72267079827392</v>
      </c>
      <c r="CY14" s="131">
        <v>2976.8039072322485</v>
      </c>
      <c r="CZ14" s="131">
        <v>2.840589965833627</v>
      </c>
      <c r="DA14" s="131">
        <v>682.0892999967355</v>
      </c>
      <c r="DB14" s="131">
        <v>26.96582879290684</v>
      </c>
      <c r="DC14" s="131">
        <v>15.27782758924706</v>
      </c>
      <c r="DD14" s="131">
        <v>3101.4533977930832</v>
      </c>
      <c r="DE14" s="130">
        <f t="shared" si="16"/>
        <v>2578.758996459131</v>
      </c>
      <c r="DF14" s="131">
        <v>90.70143223601067</v>
      </c>
      <c r="DH14" s="132">
        <v>490.76415980880495</v>
      </c>
      <c r="DI14" s="132">
        <v>1584.2433881624215</v>
      </c>
      <c r="DJ14" s="132">
        <v>2075.0075479712264</v>
      </c>
      <c r="DK14" s="121">
        <f t="shared" si="44"/>
        <v>1203.2785047393622</v>
      </c>
      <c r="DL14" s="121">
        <f t="shared" si="45"/>
        <v>4632.648395775825</v>
      </c>
      <c r="DM14" s="132"/>
      <c r="DN14" s="132"/>
      <c r="DO14" s="132"/>
      <c r="DP14" s="132"/>
      <c r="DQ14" s="132">
        <f t="shared" si="46"/>
        <v>5835.926900515187</v>
      </c>
      <c r="DR14" s="132">
        <f t="shared" si="47"/>
        <v>5.8359269005151875</v>
      </c>
      <c r="DS14" s="132">
        <v>508.28626749645014</v>
      </c>
      <c r="DT14" s="132">
        <v>-43.111116619309115</v>
      </c>
      <c r="DU14" s="132">
        <v>508.28626749645014</v>
      </c>
      <c r="DV14" s="132">
        <v>197.9348778310941</v>
      </c>
      <c r="DW14" s="132">
        <v>-19.793487783109413</v>
      </c>
      <c r="DX14" s="132">
        <v>197.9348778310941</v>
      </c>
      <c r="DY14" s="133">
        <f t="shared" si="17"/>
        <v>179.48214542228303</v>
      </c>
      <c r="DZ14" s="133">
        <f t="shared" si="18"/>
        <v>-79.36103917801645</v>
      </c>
      <c r="EA14" s="132">
        <f t="shared" si="48"/>
        <v>179.48214542228303</v>
      </c>
      <c r="EB14" s="132">
        <v>50.69330539140231</v>
      </c>
      <c r="EC14" s="132">
        <f t="shared" si="49"/>
        <v>-8.198393785654282</v>
      </c>
      <c r="ED14" s="132">
        <v>115.27798617697854</v>
      </c>
      <c r="EE14" s="132">
        <f t="shared" si="50"/>
        <v>-74.83122040251203</v>
      </c>
      <c r="EF14" s="132">
        <v>165.97129156838085</v>
      </c>
      <c r="EG14" s="132"/>
      <c r="EH14" s="132">
        <v>34.19516138048605</v>
      </c>
      <c r="EI14" s="132">
        <f t="shared" si="51"/>
        <v>15.45285591086472</v>
      </c>
      <c r="EJ14" s="132">
        <v>23.74895502814558</v>
      </c>
      <c r="EK14" s="132">
        <f t="shared" si="52"/>
        <v>-36.75337165099848</v>
      </c>
      <c r="EL14" s="132">
        <v>57.94411640863163</v>
      </c>
      <c r="EM14" s="132">
        <f>IF(EI14&gt;0,EI14,0)+IF(EK14&gt;0,EK14,0)</f>
        <v>15.45285591086472</v>
      </c>
      <c r="EO14" s="130">
        <f t="shared" si="19"/>
        <v>1909.8646907062107</v>
      </c>
      <c r="EP14" s="130">
        <f t="shared" si="20"/>
        <v>1193.4632215431861</v>
      </c>
      <c r="EQ14" s="132">
        <f t="shared" si="58"/>
        <v>508.28626749645014</v>
      </c>
      <c r="ER14" s="131">
        <f t="shared" si="59"/>
        <v>144.46032256440066</v>
      </c>
      <c r="ES14" s="131">
        <f t="shared" si="60"/>
        <v>215.12994957057361</v>
      </c>
      <c r="ET14" s="131"/>
      <c r="EU14" s="134">
        <v>178.20237252583402</v>
      </c>
      <c r="EV14" s="134">
        <v>1721.86827279274</v>
      </c>
      <c r="EW14" s="134"/>
      <c r="EX14" s="134"/>
      <c r="EY14" s="135">
        <f t="shared" si="21"/>
        <v>2.7352631578947366</v>
      </c>
      <c r="EZ14" s="135">
        <f t="shared" si="53"/>
        <v>4.649947368421052</v>
      </c>
      <c r="FA14" s="135">
        <f t="shared" si="22"/>
        <v>5.871275097199395</v>
      </c>
      <c r="FB14" s="132">
        <f t="shared" si="23"/>
        <v>4.149406824406655</v>
      </c>
      <c r="FC14" s="136">
        <f t="shared" si="24"/>
        <v>2.1465119654952574</v>
      </c>
      <c r="FD14" s="136">
        <f t="shared" si="25"/>
        <v>1.5170046115783422</v>
      </c>
      <c r="FE14" s="136">
        <f t="shared" si="26"/>
        <v>32.52895936722874</v>
      </c>
      <c r="FF14" s="136">
        <f t="shared" si="27"/>
        <v>20.3271555460324</v>
      </c>
      <c r="FG14" s="136">
        <f t="shared" si="28"/>
        <v>8.657170019829309</v>
      </c>
      <c r="FH14" s="136">
        <f t="shared" si="29"/>
        <v>2.460459102543303</v>
      </c>
      <c r="FI14" s="136">
        <f t="shared" si="30"/>
        <v>3.664109516401145</v>
      </c>
      <c r="FJ14" s="136">
        <f t="shared" si="31"/>
        <v>3.035156240777012</v>
      </c>
      <c r="FK14" s="136">
        <f t="shared" si="32"/>
        <v>29.3269902071881</v>
      </c>
      <c r="FL14" s="136">
        <f t="shared" si="33"/>
        <v>46.02741479751897</v>
      </c>
      <c r="FM14" s="136">
        <f t="shared" si="34"/>
        <v>28.7622610182082</v>
      </c>
      <c r="FN14" s="136">
        <f t="shared" si="35"/>
        <v>12.24961275203794</v>
      </c>
      <c r="FO14" s="136">
        <f t="shared" si="36"/>
        <v>3.481469247958298</v>
      </c>
      <c r="FP14" s="136">
        <f t="shared" si="37"/>
        <v>5.184595260825892</v>
      </c>
      <c r="FQ14" s="134"/>
      <c r="FR14" s="121">
        <f t="shared" si="54"/>
        <v>58.64375608177121</v>
      </c>
      <c r="FS14" s="121">
        <f t="shared" si="55"/>
        <v>93.69481553262244</v>
      </c>
      <c r="FT14" s="106">
        <f t="shared" si="38"/>
        <v>60.41617391568208</v>
      </c>
      <c r="FU14" s="106">
        <f t="shared" si="39"/>
        <v>76.38724659479709</v>
      </c>
      <c r="FV14" s="106">
        <f t="shared" si="56"/>
        <v>1.030223470533495</v>
      </c>
      <c r="FW14" s="106">
        <f t="shared" si="57"/>
        <v>0.8152771971486593</v>
      </c>
    </row>
    <row r="15" spans="1:179" s="130" customFormat="1" ht="12.75">
      <c r="A15" s="125">
        <v>730.8333333333334</v>
      </c>
      <c r="B15" s="126">
        <v>580</v>
      </c>
      <c r="C15" s="126">
        <v>900</v>
      </c>
      <c r="D15" s="126" t="s">
        <v>130</v>
      </c>
      <c r="E15" s="127">
        <v>2</v>
      </c>
      <c r="F15" s="128">
        <v>36482.604166666664</v>
      </c>
      <c r="G15" s="128">
        <v>36483.600694444445</v>
      </c>
      <c r="H15" s="127"/>
      <c r="I15" s="129">
        <v>0.5</v>
      </c>
      <c r="J15" s="130">
        <v>-11.85</v>
      </c>
      <c r="K15" s="129">
        <v>-3.815</v>
      </c>
      <c r="L15" s="130">
        <v>-8.285</v>
      </c>
      <c r="M15" s="137">
        <v>2.0730434782608698</v>
      </c>
      <c r="N15" s="137">
        <v>2.0730434782608698</v>
      </c>
      <c r="O15" s="137">
        <v>0.2683366755655334</v>
      </c>
      <c r="P15" s="137">
        <v>0.3121030080755726</v>
      </c>
      <c r="Q15" s="137"/>
      <c r="R15" s="153">
        <v>23.964500000077763</v>
      </c>
      <c r="S15" s="137"/>
      <c r="T15" s="131">
        <f t="shared" si="0"/>
        <v>1.9898812591456432</v>
      </c>
      <c r="U15" s="131">
        <v>0.5286723273013504</v>
      </c>
      <c r="V15" s="131">
        <v>1.0703856042686897</v>
      </c>
      <c r="W15" s="131">
        <v>30.850886124566287</v>
      </c>
      <c r="X15" s="131">
        <v>0</v>
      </c>
      <c r="Y15" s="131">
        <v>40.173880058747876</v>
      </c>
      <c r="Z15" s="131">
        <v>1.7932137209842567</v>
      </c>
      <c r="AA15" s="106">
        <f t="shared" si="1"/>
        <v>0.6943040239878157</v>
      </c>
      <c r="AB15" s="106">
        <f t="shared" si="40"/>
        <v>-158.27500043636874</v>
      </c>
      <c r="AC15" s="131">
        <v>15.754881526739146</v>
      </c>
      <c r="AD15" s="131">
        <v>0</v>
      </c>
      <c r="AE15" s="131">
        <v>0</v>
      </c>
      <c r="AF15" s="131">
        <v>3.4452117133796927</v>
      </c>
      <c r="AG15" s="131">
        <v>1382.6564556405274</v>
      </c>
      <c r="AH15" s="130">
        <f t="shared" si="2"/>
        <v>1354.4799210547492</v>
      </c>
      <c r="AI15" s="131">
        <v>35.6691938081897</v>
      </c>
      <c r="AJ15" s="131"/>
      <c r="AK15" s="131"/>
      <c r="AL15" s="131">
        <v>93.91524097924088</v>
      </c>
      <c r="AM15" s="131">
        <v>0</v>
      </c>
      <c r="AN15" s="131">
        <v>18.14733480497294</v>
      </c>
      <c r="AO15" s="131">
        <v>1.7757748150563317</v>
      </c>
      <c r="AP15" s="131">
        <v>1.973216949370105</v>
      </c>
      <c r="AQ15" s="131">
        <v>32.500960652418364</v>
      </c>
      <c r="AR15" s="131">
        <v>1.513899154531543</v>
      </c>
      <c r="AS15" s="131"/>
      <c r="AT15" s="131">
        <f t="shared" si="41"/>
        <v>30.850886124566287</v>
      </c>
      <c r="AU15" s="131">
        <v>134.08912103798875</v>
      </c>
      <c r="AV15" s="131">
        <v>1.7932137209842567</v>
      </c>
      <c r="AW15" s="131">
        <v>33.90221633171208</v>
      </c>
      <c r="AX15" s="131">
        <v>1.7757748150563317</v>
      </c>
      <c r="AY15" s="131">
        <v>5.418428662749798</v>
      </c>
      <c r="AZ15" s="131">
        <v>1415.1574162929458</v>
      </c>
      <c r="BA15" s="131">
        <v>37.18309296272125</v>
      </c>
      <c r="BB15" s="131"/>
      <c r="BC15" s="131">
        <v>31.58630565827233</v>
      </c>
      <c r="BD15" s="131">
        <v>1.217005146811724</v>
      </c>
      <c r="BE15" s="131">
        <v>1.0284731378737022</v>
      </c>
      <c r="BF15" s="131">
        <v>0</v>
      </c>
      <c r="BG15" s="131">
        <v>1961.2792670985946</v>
      </c>
      <c r="BH15" s="131">
        <v>-0.1793213720984257</v>
      </c>
      <c r="BI15" s="106">
        <f t="shared" si="42"/>
        <v>8.738106220361454</v>
      </c>
      <c r="BJ15" s="106">
        <f t="shared" si="43"/>
        <v>102.05217661099809</v>
      </c>
      <c r="BK15" s="131">
        <v>462.48447181531213</v>
      </c>
      <c r="BL15" s="131">
        <v>0</v>
      </c>
      <c r="BM15" s="131">
        <v>5.370443781409267</v>
      </c>
      <c r="BN15" s="131">
        <v>4.671231295836809</v>
      </c>
      <c r="BO15" s="131">
        <v>360.77255364459495</v>
      </c>
      <c r="BP15" s="132">
        <f>BO15-0.2519*$DI15</f>
        <v>6.159093797300045</v>
      </c>
      <c r="BQ15" s="131">
        <v>27.14854703220169</v>
      </c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>
        <f t="shared" si="61"/>
        <v>32.11497798557368</v>
      </c>
      <c r="CG15" s="131">
        <f t="shared" si="62"/>
        <v>2.2873907510804137</v>
      </c>
      <c r="CH15" s="131">
        <f t="shared" si="4"/>
        <v>31.87935926243999</v>
      </c>
      <c r="CI15" s="131">
        <f t="shared" si="5"/>
        <v>0</v>
      </c>
      <c r="CJ15" s="131">
        <f t="shared" si="6"/>
        <v>2001.4531471573425</v>
      </c>
      <c r="CK15" s="131">
        <f t="shared" si="7"/>
        <v>1.7932137209842567</v>
      </c>
      <c r="CL15" s="131">
        <f t="shared" si="8"/>
        <v>478.2393533420513</v>
      </c>
      <c r="CM15" s="131">
        <f t="shared" si="9"/>
        <v>0</v>
      </c>
      <c r="CN15" s="131">
        <f t="shared" si="10"/>
        <v>5.370443781409267</v>
      </c>
      <c r="CO15" s="131">
        <f t="shared" si="11"/>
        <v>8.116443009216502</v>
      </c>
      <c r="CP15" s="131">
        <f t="shared" si="12"/>
        <v>1743.4290092851224</v>
      </c>
      <c r="CQ15" s="121">
        <f t="shared" si="13"/>
        <v>1360.6390148520493</v>
      </c>
      <c r="CR15" s="131">
        <f t="shared" si="14"/>
        <v>62.817740840391394</v>
      </c>
      <c r="CS15" s="131"/>
      <c r="CT15" s="131"/>
      <c r="CU15" s="131"/>
      <c r="CV15" s="131"/>
      <c r="CW15" s="131"/>
      <c r="CX15" s="132">
        <f t="shared" si="15"/>
        <v>31.87935926243999</v>
      </c>
      <c r="CY15" s="131">
        <v>2095.3683881365832</v>
      </c>
      <c r="CZ15" s="131">
        <v>1.613892348885831</v>
      </c>
      <c r="DA15" s="131">
        <v>496.3866881470242</v>
      </c>
      <c r="DB15" s="131">
        <v>7.146218596465599</v>
      </c>
      <c r="DC15" s="131">
        <v>10.089659958586607</v>
      </c>
      <c r="DD15" s="131">
        <v>1775.9299699375406</v>
      </c>
      <c r="DE15" s="130">
        <f t="shared" si="16"/>
        <v>1393.1399755044674</v>
      </c>
      <c r="DF15" s="131">
        <v>64.33163999492294</v>
      </c>
      <c r="DH15" s="132">
        <v>111.85603249614229</v>
      </c>
      <c r="DI15" s="132">
        <v>1407.754902132969</v>
      </c>
      <c r="DJ15" s="132">
        <v>1519.6109346291112</v>
      </c>
      <c r="DK15" s="121">
        <f t="shared" si="44"/>
        <v>204.60224782807703</v>
      </c>
      <c r="DL15" s="121">
        <f t="shared" si="45"/>
        <v>4030.678973234059</v>
      </c>
      <c r="DM15" s="132"/>
      <c r="DN15" s="132"/>
      <c r="DO15" s="132"/>
      <c r="DP15" s="132"/>
      <c r="DQ15" s="132">
        <f t="shared" si="46"/>
        <v>4235.281221062136</v>
      </c>
      <c r="DR15" s="132">
        <f t="shared" si="47"/>
        <v>4.235281221062136</v>
      </c>
      <c r="DS15" s="132">
        <v>372.7303641024067</v>
      </c>
      <c r="DT15" s="132">
        <v>-28.674724978776155</v>
      </c>
      <c r="DU15" s="132">
        <v>372.7303641024067</v>
      </c>
      <c r="DV15" s="132">
        <v>130.74276456921694</v>
      </c>
      <c r="DW15" s="132">
        <v>-13.074276456921694</v>
      </c>
      <c r="DX15" s="132">
        <v>130.74276456921694</v>
      </c>
      <c r="DY15" s="133">
        <f t="shared" si="17"/>
        <v>126.53697774736199</v>
      </c>
      <c r="DZ15" s="133">
        <f t="shared" si="18"/>
        <v>-66.00586077712133</v>
      </c>
      <c r="EA15" s="132">
        <f t="shared" si="48"/>
        <v>126.53697774736199</v>
      </c>
      <c r="EB15" s="132">
        <v>9.642009175520046</v>
      </c>
      <c r="EC15" s="132">
        <f t="shared" si="49"/>
        <v>-3.7807147240170274</v>
      </c>
      <c r="ED15" s="132">
        <v>105.45124093374783</v>
      </c>
      <c r="EE15" s="132">
        <f t="shared" si="50"/>
        <v>-63.479347322208426</v>
      </c>
      <c r="EF15" s="132">
        <v>115.09325010926787</v>
      </c>
      <c r="EG15" s="132"/>
      <c r="EH15" s="132">
        <v>1.9098578933244463</v>
      </c>
      <c r="EI15" s="132">
        <f t="shared" si="51"/>
        <v>-2.361929049062164</v>
      </c>
      <c r="EJ15" s="132">
        <v>-0.19098578933244464</v>
      </c>
      <c r="EK15" s="132">
        <f t="shared" si="52"/>
        <v>-53.95320920110737</v>
      </c>
      <c r="EL15" s="132">
        <v>1.9098578933244463</v>
      </c>
      <c r="EM15" s="132"/>
      <c r="EO15" s="130">
        <f t="shared" si="19"/>
        <v>1354.4799210547492</v>
      </c>
      <c r="EP15" s="130">
        <f t="shared" si="20"/>
        <v>202.36512717815418</v>
      </c>
      <c r="EQ15" s="132">
        <f t="shared" si="58"/>
        <v>372.7303641024067</v>
      </c>
      <c r="ER15" s="131">
        <f t="shared" si="59"/>
        <v>15.754881526739146</v>
      </c>
      <c r="ES15" s="131">
        <f t="shared" si="60"/>
        <v>73.35756329868997</v>
      </c>
      <c r="ET15" s="131"/>
      <c r="EU15" s="134">
        <v>117.52502210765996</v>
      </c>
      <c r="EV15" s="134">
        <v>1377.1885087355245</v>
      </c>
      <c r="EW15" s="134"/>
      <c r="EX15" s="134"/>
      <c r="EY15" s="135">
        <f t="shared" si="21"/>
        <v>2.0730434782608698</v>
      </c>
      <c r="EZ15" s="135">
        <f t="shared" si="53"/>
        <v>3.5241739130434784</v>
      </c>
      <c r="FA15" s="135">
        <f t="shared" si="22"/>
        <v>3.513401388003923</v>
      </c>
      <c r="FB15" s="132">
        <f t="shared" si="23"/>
        <v>2.136212879268399</v>
      </c>
      <c r="FC15" s="136">
        <f t="shared" si="24"/>
        <v>1.6948035218978654</v>
      </c>
      <c r="FD15" s="136">
        <f t="shared" si="25"/>
        <v>1.0304718167611824</v>
      </c>
      <c r="FE15" s="136">
        <f t="shared" si="26"/>
        <v>38.55181265879425</v>
      </c>
      <c r="FF15" s="136">
        <f t="shared" si="27"/>
        <v>5.759806661120617</v>
      </c>
      <c r="FG15" s="136">
        <f t="shared" si="28"/>
        <v>10.608818149131741</v>
      </c>
      <c r="FH15" s="136">
        <f t="shared" si="29"/>
        <v>0.44842247687759934</v>
      </c>
      <c r="FI15" s="136">
        <f t="shared" si="30"/>
        <v>2.087935740822564</v>
      </c>
      <c r="FJ15" s="136">
        <f t="shared" si="31"/>
        <v>3.3450496862935926</v>
      </c>
      <c r="FK15" s="136">
        <f t="shared" si="32"/>
        <v>39.19815462695965</v>
      </c>
      <c r="FL15" s="136">
        <f t="shared" si="33"/>
        <v>63.40566215098496</v>
      </c>
      <c r="FM15" s="136">
        <f t="shared" si="34"/>
        <v>9.473078696513586</v>
      </c>
      <c r="FN15" s="136">
        <f t="shared" si="35"/>
        <v>17.4481844819725</v>
      </c>
      <c r="FO15" s="136">
        <f t="shared" si="36"/>
        <v>0.7375145838524675</v>
      </c>
      <c r="FP15" s="136">
        <f t="shared" si="37"/>
        <v>3.434000609705768</v>
      </c>
      <c r="FQ15" s="134"/>
      <c r="FR15" s="121">
        <f t="shared" si="54"/>
        <v>30.515858581147523</v>
      </c>
      <c r="FS15" s="121">
        <f t="shared" si="55"/>
        <v>70.23365116394105</v>
      </c>
      <c r="FT15" s="106">
        <f t="shared" si="38"/>
        <v>29.78978041824124</v>
      </c>
      <c r="FU15" s="106">
        <f t="shared" si="39"/>
        <v>67.70500672611122</v>
      </c>
      <c r="FV15" s="106">
        <f t="shared" si="56"/>
        <v>0.9762065300907231</v>
      </c>
      <c r="FW15" s="106">
        <f t="shared" si="57"/>
        <v>0.9639966825599398</v>
      </c>
    </row>
    <row r="16" spans="1:179" s="130" customFormat="1" ht="12.75">
      <c r="A16" s="125">
        <v>1179.1666666666667</v>
      </c>
      <c r="B16" s="126">
        <v>900</v>
      </c>
      <c r="C16" s="126">
        <v>1450</v>
      </c>
      <c r="D16" s="126" t="s">
        <v>131</v>
      </c>
      <c r="E16" s="127">
        <v>3</v>
      </c>
      <c r="F16" s="128">
        <v>36483.604166666664</v>
      </c>
      <c r="G16" s="128">
        <v>36484.604166666664</v>
      </c>
      <c r="H16" s="127" t="s">
        <v>210</v>
      </c>
      <c r="I16" s="129">
        <v>-3.8333333333333335</v>
      </c>
      <c r="J16" s="130">
        <v>-8.266666666666667</v>
      </c>
      <c r="K16" s="129">
        <v>-8.466666666666667</v>
      </c>
      <c r="L16" s="130">
        <v>-4.433333333333334</v>
      </c>
      <c r="M16" s="131">
        <v>1.1237209302325581</v>
      </c>
      <c r="N16" s="131">
        <v>1.1237209302325581</v>
      </c>
      <c r="O16" s="131">
        <v>0.13448134945857074</v>
      </c>
      <c r="P16" s="131">
        <v>0.12002312061619322</v>
      </c>
      <c r="Q16" s="131"/>
      <c r="R16" s="153">
        <v>24.047999999999995</v>
      </c>
      <c r="S16" s="131"/>
      <c r="T16" s="131">
        <f t="shared" si="0"/>
        <v>1.7325045138529125</v>
      </c>
      <c r="U16" s="131">
        <v>0.432789917798149</v>
      </c>
      <c r="V16" s="131">
        <v>1.9491568616111408</v>
      </c>
      <c r="W16" s="131">
        <v>26.032631522423262</v>
      </c>
      <c r="X16" s="131">
        <v>0</v>
      </c>
      <c r="Y16" s="131">
        <v>140.74576064393847</v>
      </c>
      <c r="Z16" s="131">
        <v>0.9792386571763879</v>
      </c>
      <c r="AA16" s="106">
        <f t="shared" si="1"/>
        <v>1.1340552358979872</v>
      </c>
      <c r="AB16" s="106">
        <f t="shared" si="40"/>
        <v>13.651590665159244</v>
      </c>
      <c r="AC16" s="131">
        <v>61.79931101218345</v>
      </c>
      <c r="AD16" s="131">
        <v>0</v>
      </c>
      <c r="AE16" s="131">
        <v>4.692004879130629</v>
      </c>
      <c r="AF16" s="131">
        <v>1.9705958453463446</v>
      </c>
      <c r="AG16" s="131">
        <v>905.6627979445944</v>
      </c>
      <c r="AH16" s="130">
        <f t="shared" si="2"/>
        <v>859.6400968331527</v>
      </c>
      <c r="AI16" s="131">
        <v>21.855378821626296</v>
      </c>
      <c r="AJ16" s="131"/>
      <c r="AK16" s="131"/>
      <c r="AL16" s="131">
        <v>76.90954263735904</v>
      </c>
      <c r="AM16" s="131">
        <v>0</v>
      </c>
      <c r="AN16" s="131">
        <v>9.82537815303036</v>
      </c>
      <c r="AO16" s="131">
        <v>5.0547054040068025</v>
      </c>
      <c r="AP16" s="131">
        <v>0.896355437273601</v>
      </c>
      <c r="AQ16" s="131">
        <v>24.450067533990666</v>
      </c>
      <c r="AR16" s="131">
        <v>3.5453639161491837</v>
      </c>
      <c r="AS16" s="131"/>
      <c r="AT16" s="131">
        <f t="shared" si="41"/>
        <v>26.032631522423262</v>
      </c>
      <c r="AU16" s="131">
        <v>217.6553032812975</v>
      </c>
      <c r="AV16" s="131">
        <v>0.9792386571763879</v>
      </c>
      <c r="AW16" s="131">
        <v>71.62468916521381</v>
      </c>
      <c r="AX16" s="131">
        <v>9.746710283137432</v>
      </c>
      <c r="AY16" s="131">
        <v>2.8669512826199455</v>
      </c>
      <c r="AZ16" s="131">
        <v>930.1128654785851</v>
      </c>
      <c r="BA16" s="131">
        <v>25.40074273777548</v>
      </c>
      <c r="BB16" s="131"/>
      <c r="BC16" s="131">
        <v>12.98761583310745</v>
      </c>
      <c r="BD16" s="131">
        <v>1.0895448811302297</v>
      </c>
      <c r="BE16" s="131">
        <v>-0.040593452636906946</v>
      </c>
      <c r="BF16" s="131">
        <v>0</v>
      </c>
      <c r="BG16" s="131">
        <v>1810.106053329065</v>
      </c>
      <c r="BH16" s="131">
        <v>-0.0979238657176388</v>
      </c>
      <c r="BI16" s="106">
        <f t="shared" si="42"/>
        <v>7.907986915790586</v>
      </c>
      <c r="BJ16" s="106">
        <f t="shared" si="43"/>
        <v>101.23829068965841</v>
      </c>
      <c r="BK16" s="131">
        <v>381.3573228674647</v>
      </c>
      <c r="BL16" s="131">
        <v>0</v>
      </c>
      <c r="BM16" s="131">
        <v>0.33751940563317806</v>
      </c>
      <c r="BN16" s="131">
        <v>2.9674447401493316</v>
      </c>
      <c r="BO16" s="131">
        <v>311.6821226038459</v>
      </c>
      <c r="BP16" s="132">
        <v>0</v>
      </c>
      <c r="BQ16" s="131">
        <v>15.311497362648678</v>
      </c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>
        <f t="shared" si="61"/>
        <v>13.420405750905598</v>
      </c>
      <c r="CG16" s="131">
        <f t="shared" si="62"/>
        <v>3.0387017427413703</v>
      </c>
      <c r="CH16" s="131">
        <f t="shared" si="4"/>
        <v>26.032631522423262</v>
      </c>
      <c r="CI16" s="131">
        <f t="shared" si="5"/>
        <v>0</v>
      </c>
      <c r="CJ16" s="131">
        <f t="shared" si="6"/>
        <v>1950.8518139730033</v>
      </c>
      <c r="CK16" s="131">
        <f t="shared" si="7"/>
        <v>0.9792386571763879</v>
      </c>
      <c r="CL16" s="131">
        <f t="shared" si="8"/>
        <v>443.15663387964815</v>
      </c>
      <c r="CM16" s="131">
        <f t="shared" si="9"/>
        <v>0</v>
      </c>
      <c r="CN16" s="131">
        <f t="shared" si="10"/>
        <v>5.029524284763807</v>
      </c>
      <c r="CO16" s="131">
        <f t="shared" si="11"/>
        <v>4.938040585495676</v>
      </c>
      <c r="CP16" s="131">
        <f t="shared" si="12"/>
        <v>1217.3449205484403</v>
      </c>
      <c r="CQ16" s="121">
        <f t="shared" si="13"/>
        <v>850.3970063626673</v>
      </c>
      <c r="CR16" s="131">
        <f t="shared" si="14"/>
        <v>37.166876184274976</v>
      </c>
      <c r="CS16" s="131"/>
      <c r="CT16" s="131"/>
      <c r="CU16" s="131"/>
      <c r="CV16" s="131"/>
      <c r="CW16" s="131"/>
      <c r="CX16" s="132">
        <f t="shared" si="15"/>
        <v>26.032631522423262</v>
      </c>
      <c r="CY16" s="131">
        <v>2027.7613566103623</v>
      </c>
      <c r="CZ16" s="131">
        <v>0.8813147914587491</v>
      </c>
      <c r="DA16" s="131">
        <v>452.9820120326785</v>
      </c>
      <c r="DB16" s="131">
        <v>10.084229688770609</v>
      </c>
      <c r="DC16" s="131">
        <v>5.834396022769277</v>
      </c>
      <c r="DD16" s="131">
        <v>1241.794988082431</v>
      </c>
      <c r="DE16" s="130">
        <f t="shared" si="16"/>
        <v>874.847073896658</v>
      </c>
      <c r="DF16" s="131">
        <v>40.71224010042416</v>
      </c>
      <c r="DH16" s="132">
        <v>182.7022672149336</v>
      </c>
      <c r="DI16" s="132">
        <v>1274.0183131176307</v>
      </c>
      <c r="DJ16" s="132">
        <v>1456.7205803325644</v>
      </c>
      <c r="DK16" s="121">
        <f t="shared" si="44"/>
        <v>409.31809344989085</v>
      </c>
      <c r="DL16" s="121">
        <f t="shared" si="45"/>
        <v>3682.912973611982</v>
      </c>
      <c r="DM16" s="132"/>
      <c r="DN16" s="132"/>
      <c r="DO16" s="132"/>
      <c r="DP16" s="132"/>
      <c r="DQ16" s="132">
        <f t="shared" si="46"/>
        <v>4092.231067061873</v>
      </c>
      <c r="DR16" s="132">
        <f t="shared" si="47"/>
        <v>4.092231067061873</v>
      </c>
      <c r="DS16" s="132">
        <v>287.48369601098733</v>
      </c>
      <c r="DT16" s="132">
        <v>-22.107851940378506</v>
      </c>
      <c r="DU16" s="132">
        <v>287.48369601098733</v>
      </c>
      <c r="DV16" s="132">
        <v>48.435479387810034</v>
      </c>
      <c r="DW16" s="132">
        <v>-4.843547938781004</v>
      </c>
      <c r="DX16" s="132">
        <v>48.435479387810034</v>
      </c>
      <c r="DY16" s="133">
        <f t="shared" si="17"/>
        <v>41.56587414052853</v>
      </c>
      <c r="DZ16" s="133">
        <f t="shared" si="18"/>
        <v>-52.74663651200392</v>
      </c>
      <c r="EA16" s="132">
        <f t="shared" si="48"/>
        <v>41.56587414052853</v>
      </c>
      <c r="EB16" s="132">
        <v>20.179734682660143</v>
      </c>
      <c r="EC16" s="132">
        <f t="shared" si="49"/>
        <v>-1.7445373831318882</v>
      </c>
      <c r="ED16" s="132">
        <v>100.86641051122294</v>
      </c>
      <c r="EE16" s="132">
        <f t="shared" si="50"/>
        <v>-52.01578706289274</v>
      </c>
      <c r="EF16" s="132">
        <v>121.04614519388308</v>
      </c>
      <c r="EG16" s="132"/>
      <c r="EH16" s="132">
        <v>2.4872768650777144</v>
      </c>
      <c r="EI16" s="132">
        <f t="shared" si="51"/>
        <v>-4.490130986931515</v>
      </c>
      <c r="EJ16" s="132">
        <v>-0.24872768650777144</v>
      </c>
      <c r="EK16" s="132">
        <f t="shared" si="52"/>
        <v>-48.90354471235756</v>
      </c>
      <c r="EL16" s="132">
        <v>2.4872768650777144</v>
      </c>
      <c r="EM16" s="132"/>
      <c r="EO16" s="130">
        <f t="shared" si="19"/>
        <v>859.6400968331527</v>
      </c>
      <c r="EP16" s="130">
        <f t="shared" si="20"/>
        <v>405.6640481055922</v>
      </c>
      <c r="EQ16" s="132">
        <f t="shared" si="58"/>
        <v>287.48369601098733</v>
      </c>
      <c r="ER16" s="131">
        <f t="shared" si="59"/>
        <v>61.79931101218345</v>
      </c>
      <c r="ES16" s="131">
        <f t="shared" si="60"/>
        <v>57.91179650511221</v>
      </c>
      <c r="ET16" s="131"/>
      <c r="EU16" s="134">
        <v>47.842958769643865</v>
      </c>
      <c r="EV16" s="134">
        <v>1256.69832664351</v>
      </c>
      <c r="EW16" s="134"/>
      <c r="EX16" s="134"/>
      <c r="EY16" s="135">
        <f t="shared" si="21"/>
        <v>1.1237209302325581</v>
      </c>
      <c r="EZ16" s="135">
        <f t="shared" si="53"/>
        <v>1.9103255813953488</v>
      </c>
      <c r="FA16" s="135">
        <f t="shared" si="22"/>
        <v>2.977040233880182</v>
      </c>
      <c r="FB16" s="132">
        <f t="shared" si="23"/>
        <v>1.720341907236672</v>
      </c>
      <c r="FC16" s="136">
        <f t="shared" si="24"/>
        <v>2.6492700756797976</v>
      </c>
      <c r="FD16" s="136">
        <f t="shared" si="25"/>
        <v>1.5309334025491907</v>
      </c>
      <c r="FE16" s="136">
        <f t="shared" si="26"/>
        <v>28.875662715270877</v>
      </c>
      <c r="FF16" s="136">
        <f t="shared" si="27"/>
        <v>13.626421419802655</v>
      </c>
      <c r="FG16" s="136">
        <f t="shared" si="28"/>
        <v>9.65669502008342</v>
      </c>
      <c r="FH16" s="136">
        <f t="shared" si="29"/>
        <v>2.0758641522165844</v>
      </c>
      <c r="FI16" s="136">
        <f t="shared" si="30"/>
        <v>1.9452809487103158</v>
      </c>
      <c r="FJ16" s="136">
        <f t="shared" si="31"/>
        <v>1.6070645678606377</v>
      </c>
      <c r="FK16" s="136">
        <f t="shared" si="32"/>
        <v>42.213011176055495</v>
      </c>
      <c r="FL16" s="136">
        <f t="shared" si="33"/>
        <v>49.96914236740091</v>
      </c>
      <c r="FM16" s="136">
        <f t="shared" si="34"/>
        <v>23.580431680420837</v>
      </c>
      <c r="FN16" s="136">
        <f t="shared" si="35"/>
        <v>16.71084653589372</v>
      </c>
      <c r="FO16" s="136">
        <f t="shared" si="36"/>
        <v>3.5922691153556583</v>
      </c>
      <c r="FP16" s="136">
        <f t="shared" si="37"/>
        <v>3.366295749786971</v>
      </c>
      <c r="FQ16" s="134"/>
      <c r="FR16" s="121">
        <f t="shared" si="54"/>
        <v>24.10343505217051</v>
      </c>
      <c r="FS16" s="121">
        <f t="shared" si="55"/>
        <v>63.6327777278017</v>
      </c>
      <c r="FT16" s="106">
        <f t="shared" si="38"/>
        <v>26.895571267271652</v>
      </c>
      <c r="FU16" s="106">
        <f t="shared" si="39"/>
        <v>62.0965694933247</v>
      </c>
      <c r="FV16" s="106">
        <f t="shared" si="56"/>
        <v>1.115839763463495</v>
      </c>
      <c r="FW16" s="106">
        <f t="shared" si="57"/>
        <v>0.9758582244979411</v>
      </c>
    </row>
    <row r="17" spans="1:179" s="130" customFormat="1" ht="12.75">
      <c r="A17" s="125">
        <v>1508.3333333333333</v>
      </c>
      <c r="B17" s="126">
        <v>1400</v>
      </c>
      <c r="C17" s="126">
        <v>1625</v>
      </c>
      <c r="D17" s="126" t="s">
        <v>132</v>
      </c>
      <c r="E17" s="127">
        <v>3</v>
      </c>
      <c r="F17" s="128">
        <v>36484.61111111111</v>
      </c>
      <c r="G17" s="128">
        <v>36485.583333333336</v>
      </c>
      <c r="H17" s="127"/>
      <c r="I17" s="129">
        <v>-8.475</v>
      </c>
      <c r="J17" s="130">
        <v>-4.416666666666667</v>
      </c>
      <c r="K17" s="129">
        <v>-12.95</v>
      </c>
      <c r="L17" s="130">
        <v>-0.65</v>
      </c>
      <c r="M17" s="131">
        <v>1.41</v>
      </c>
      <c r="N17" s="131">
        <v>1.26551724137931</v>
      </c>
      <c r="O17" s="131">
        <v>0.08497876669006159</v>
      </c>
      <c r="P17" s="131">
        <v>0.07533404668632351</v>
      </c>
      <c r="Q17" s="131"/>
      <c r="R17" s="153">
        <v>23.38000000009721</v>
      </c>
      <c r="S17" s="131"/>
      <c r="T17" s="131">
        <f t="shared" si="0"/>
        <v>3.440703802982867</v>
      </c>
      <c r="U17" s="131">
        <v>0.4926793436387128</v>
      </c>
      <c r="V17" s="131">
        <v>2.181398175650194</v>
      </c>
      <c r="W17" s="131">
        <v>36.94987570990773</v>
      </c>
      <c r="X17" s="131">
        <v>0</v>
      </c>
      <c r="Y17" s="131">
        <v>790.9713121654162</v>
      </c>
      <c r="Z17" s="131">
        <v>0</v>
      </c>
      <c r="AA17" s="106">
        <f t="shared" si="1"/>
        <v>4.44718779683493</v>
      </c>
      <c r="AB17" s="106">
        <f t="shared" si="40"/>
        <v>100</v>
      </c>
      <c r="AC17" s="131">
        <v>224.3211335314734</v>
      </c>
      <c r="AD17" s="131">
        <v>0</v>
      </c>
      <c r="AE17" s="131">
        <v>3.79003896966393</v>
      </c>
      <c r="AF17" s="131">
        <v>2.74246721270602</v>
      </c>
      <c r="AG17" s="131">
        <v>1194.1725689131247</v>
      </c>
      <c r="AH17" s="130">
        <f t="shared" si="2"/>
        <v>1013.6949446480961</v>
      </c>
      <c r="AI17" s="131">
        <v>30.182452234796205</v>
      </c>
      <c r="AJ17" s="131"/>
      <c r="AK17" s="131"/>
      <c r="AL17" s="131">
        <v>119.81956184385545</v>
      </c>
      <c r="AM17" s="131">
        <v>0</v>
      </c>
      <c r="AN17" s="131">
        <v>13.630007814869035</v>
      </c>
      <c r="AO17" s="131">
        <v>4.267380494944713</v>
      </c>
      <c r="AP17" s="131">
        <v>1.1168139910608446</v>
      </c>
      <c r="AQ17" s="131">
        <v>36.581380137509086</v>
      </c>
      <c r="AR17" s="131">
        <v>5.271096971035968</v>
      </c>
      <c r="AS17" s="131"/>
      <c r="AT17" s="131">
        <f t="shared" si="41"/>
        <v>36.94987570990773</v>
      </c>
      <c r="AU17" s="131">
        <v>910.7908740092716</v>
      </c>
      <c r="AV17" s="131">
        <v>0</v>
      </c>
      <c r="AW17" s="131">
        <v>237.95114134634244</v>
      </c>
      <c r="AX17" s="131">
        <v>8.057419464608643</v>
      </c>
      <c r="AY17" s="131">
        <v>3.8592812037668645</v>
      </c>
      <c r="AZ17" s="131">
        <v>1230.7539490506338</v>
      </c>
      <c r="BA17" s="131">
        <v>35.453549205832175</v>
      </c>
      <c r="BB17" s="131"/>
      <c r="BC17" s="131">
        <v>33.06736845338933</v>
      </c>
      <c r="BD17" s="131">
        <v>0.3739004851366349</v>
      </c>
      <c r="BE17" s="131">
        <v>-2.119733055765881</v>
      </c>
      <c r="BF17" s="131">
        <v>0</v>
      </c>
      <c r="BG17" s="131">
        <v>1127.970346329932</v>
      </c>
      <c r="BH17" s="131">
        <v>0</v>
      </c>
      <c r="BI17" s="106">
        <f t="shared" si="42"/>
        <v>7.174436842480588</v>
      </c>
      <c r="BJ17" s="106">
        <f t="shared" si="43"/>
        <v>100</v>
      </c>
      <c r="BK17" s="131">
        <v>160.07172838428414</v>
      </c>
      <c r="BL17" s="131">
        <v>0</v>
      </c>
      <c r="BM17" s="131">
        <v>0.4122706967001203</v>
      </c>
      <c r="BN17" s="131">
        <v>-0.274246721270602</v>
      </c>
      <c r="BO17" s="131">
        <v>109.03210282007488</v>
      </c>
      <c r="BP17" s="132">
        <v>0</v>
      </c>
      <c r="BQ17" s="131">
        <v>1.639568006493409</v>
      </c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>
        <f t="shared" si="61"/>
        <v>33.56004779702804</v>
      </c>
      <c r="CG17" s="131">
        <f t="shared" si="62"/>
        <v>2.555298660786829</v>
      </c>
      <c r="CH17" s="131">
        <f t="shared" si="4"/>
        <v>36.94987570990773</v>
      </c>
      <c r="CI17" s="131">
        <f t="shared" si="5"/>
        <v>0</v>
      </c>
      <c r="CJ17" s="131">
        <f t="shared" si="6"/>
        <v>1918.9416584953483</v>
      </c>
      <c r="CK17" s="131">
        <f t="shared" si="7"/>
        <v>0</v>
      </c>
      <c r="CL17" s="131">
        <f t="shared" si="8"/>
        <v>384.3928619157575</v>
      </c>
      <c r="CM17" s="131">
        <f t="shared" si="9"/>
        <v>0</v>
      </c>
      <c r="CN17" s="131">
        <f t="shared" si="10"/>
        <v>4.202309666364051</v>
      </c>
      <c r="CO17" s="131">
        <f t="shared" si="11"/>
        <v>2.4682204914354178</v>
      </c>
      <c r="CP17" s="131">
        <f t="shared" si="12"/>
        <v>1303.2046717331996</v>
      </c>
      <c r="CQ17" s="121">
        <f t="shared" si="13"/>
        <v>831.571068471305</v>
      </c>
      <c r="CR17" s="131">
        <f t="shared" si="14"/>
        <v>31.822020241289614</v>
      </c>
      <c r="CS17" s="131"/>
      <c r="CT17" s="131"/>
      <c r="CU17" s="131"/>
      <c r="CV17" s="131"/>
      <c r="CW17" s="131"/>
      <c r="CX17" s="132">
        <f t="shared" si="15"/>
        <v>36.94987570990773</v>
      </c>
      <c r="CY17" s="131">
        <v>2038.7612203392036</v>
      </c>
      <c r="CZ17" s="131">
        <v>0</v>
      </c>
      <c r="DA17" s="131">
        <v>398.02286973062655</v>
      </c>
      <c r="DB17" s="131">
        <v>8.469690161308764</v>
      </c>
      <c r="DC17" s="131">
        <v>3.5850344824962623</v>
      </c>
      <c r="DD17" s="131">
        <v>1339.7860518707087</v>
      </c>
      <c r="DE17" s="130">
        <f t="shared" si="16"/>
        <v>868.1524486088141</v>
      </c>
      <c r="DF17" s="131">
        <v>37.09311721232558</v>
      </c>
      <c r="DH17" s="132">
        <v>716.4653603216694</v>
      </c>
      <c r="DI17" s="132">
        <v>1155.8395355175305</v>
      </c>
      <c r="DJ17" s="132">
        <v>1872.3048958392003</v>
      </c>
      <c r="DK17" s="121">
        <f t="shared" si="44"/>
        <v>1844.1753918382701</v>
      </c>
      <c r="DL17" s="121">
        <f t="shared" si="45"/>
        <v>2827.054463540702</v>
      </c>
      <c r="DM17" s="132"/>
      <c r="DN17" s="132"/>
      <c r="DO17" s="132"/>
      <c r="DP17" s="132"/>
      <c r="DQ17" s="132">
        <f t="shared" si="46"/>
        <v>4671.2298553789715</v>
      </c>
      <c r="DR17" s="132">
        <f t="shared" si="47"/>
        <v>4.6712298553789715</v>
      </c>
      <c r="DS17" s="132">
        <v>202.92519848622976</v>
      </c>
      <c r="DT17" s="132">
        <v>-18.599938865738654</v>
      </c>
      <c r="DU17" s="132">
        <v>202.92519848622976</v>
      </c>
      <c r="DV17" s="132">
        <v>1.7401325836944093</v>
      </c>
      <c r="DW17" s="132">
        <v>-0.17401325836944093</v>
      </c>
      <c r="DX17" s="132">
        <v>1.7401325836944093</v>
      </c>
      <c r="DY17" s="133">
        <f t="shared" si="17"/>
        <v>-25.19896496440036</v>
      </c>
      <c r="DZ17" s="133">
        <f t="shared" si="18"/>
        <v>-43.63357979382859</v>
      </c>
      <c r="EA17" s="132"/>
      <c r="EB17" s="132">
        <v>40.79401163530943</v>
      </c>
      <c r="EC17" s="132">
        <f t="shared" si="49"/>
        <v>-45.1818316032909</v>
      </c>
      <c r="ED17" s="132">
        <v>48.13334498568524</v>
      </c>
      <c r="EE17" s="132">
        <f t="shared" si="50"/>
        <v>-90.56739927641841</v>
      </c>
      <c r="EF17" s="132">
        <v>88.92735662099467</v>
      </c>
      <c r="EG17" s="132"/>
      <c r="EH17" s="132">
        <v>0</v>
      </c>
      <c r="EI17" s="132">
        <f t="shared" si="51"/>
        <v>-27.36184452993163</v>
      </c>
      <c r="EJ17" s="132">
        <v>0</v>
      </c>
      <c r="EK17" s="132">
        <f t="shared" si="52"/>
        <v>-44.14156416184596</v>
      </c>
      <c r="EL17" s="132">
        <v>0</v>
      </c>
      <c r="EM17" s="132"/>
      <c r="EO17" s="130">
        <f t="shared" si="19"/>
        <v>1013.6949446480961</v>
      </c>
      <c r="EP17" s="130">
        <f t="shared" si="20"/>
        <v>1829.8460846318367</v>
      </c>
      <c r="EQ17" s="132">
        <f t="shared" si="58"/>
        <v>202.92519848622976</v>
      </c>
      <c r="ER17" s="131">
        <f t="shared" si="59"/>
        <v>224.3211335314734</v>
      </c>
      <c r="ES17" s="131">
        <f t="shared" si="60"/>
        <v>76.33891164636279</v>
      </c>
      <c r="ET17" s="131"/>
      <c r="EU17" s="134">
        <v>29.882367231448224</v>
      </c>
      <c r="EV17" s="134">
        <v>1133.737336437344</v>
      </c>
      <c r="EW17" s="134"/>
      <c r="EX17" s="134"/>
      <c r="EY17" s="135">
        <f t="shared" si="21"/>
        <v>1.41</v>
      </c>
      <c r="EZ17" s="135">
        <f t="shared" si="53"/>
        <v>2.397</v>
      </c>
      <c r="FA17" s="135">
        <f t="shared" si="22"/>
        <v>4.5107459766127915</v>
      </c>
      <c r="FB17" s="132">
        <f t="shared" si="23"/>
        <v>3.3770086401754473</v>
      </c>
      <c r="FC17" s="136">
        <f t="shared" si="24"/>
        <v>3.1991106217112</v>
      </c>
      <c r="FD17" s="136">
        <f t="shared" si="25"/>
        <v>2.395041588776913</v>
      </c>
      <c r="FE17" s="136">
        <f t="shared" si="26"/>
        <v>22.47288918293953</v>
      </c>
      <c r="FF17" s="136">
        <f t="shared" si="27"/>
        <v>40.56637403478668</v>
      </c>
      <c r="FG17" s="136">
        <f t="shared" si="28"/>
        <v>4.498705968776595</v>
      </c>
      <c r="FH17" s="136">
        <f t="shared" si="29"/>
        <v>4.973038488412522</v>
      </c>
      <c r="FI17" s="136">
        <f t="shared" si="30"/>
        <v>1.692378866869537</v>
      </c>
      <c r="FJ17" s="136">
        <f t="shared" si="31"/>
        <v>0.6624706287248631</v>
      </c>
      <c r="FK17" s="136">
        <f t="shared" si="32"/>
        <v>25.13414282949025</v>
      </c>
      <c r="FL17" s="136">
        <f t="shared" si="33"/>
        <v>30.017540748590772</v>
      </c>
      <c r="FM17" s="136">
        <f t="shared" si="34"/>
        <v>54.18541317492068</v>
      </c>
      <c r="FN17" s="136">
        <f t="shared" si="35"/>
        <v>6.009022188219427</v>
      </c>
      <c r="FO17" s="136">
        <f t="shared" si="36"/>
        <v>6.64259874442664</v>
      </c>
      <c r="FP17" s="136">
        <f t="shared" si="37"/>
        <v>2.2605483071075803</v>
      </c>
      <c r="FQ17" s="134"/>
      <c r="FR17" s="121">
        <f t="shared" si="54"/>
        <v>51.166506077517745</v>
      </c>
      <c r="FS17" s="121">
        <f t="shared" si="55"/>
        <v>36.60480380593892</v>
      </c>
      <c r="FT17" s="106">
        <f t="shared" si="38"/>
        <v>45.7324296932185</v>
      </c>
      <c r="FU17" s="106">
        <f t="shared" si="39"/>
        <v>53.06676863203789</v>
      </c>
      <c r="FV17" s="106">
        <f t="shared" si="56"/>
        <v>0.8937962194239613</v>
      </c>
      <c r="FW17" s="106">
        <f t="shared" si="57"/>
        <v>1.4497214331040373</v>
      </c>
    </row>
    <row r="18" spans="1:179" ht="12.75">
      <c r="A18" s="118">
        <v>1123.3333333333333</v>
      </c>
      <c r="B18" s="80">
        <v>880</v>
      </c>
      <c r="C18" s="80">
        <v>1400</v>
      </c>
      <c r="D18" s="79" t="s">
        <v>133</v>
      </c>
      <c r="E18" s="119">
        <v>3</v>
      </c>
      <c r="F18" s="120">
        <v>36485.586805555555</v>
      </c>
      <c r="G18" s="120">
        <v>36486.59027777778</v>
      </c>
      <c r="H18" s="119"/>
      <c r="I18" s="81">
        <v>-12.966666666666667</v>
      </c>
      <c r="J18" s="46">
        <v>-0.6333333333333333</v>
      </c>
      <c r="K18" s="81">
        <v>-17.633333333333333</v>
      </c>
      <c r="L18" s="46">
        <v>3.35</v>
      </c>
      <c r="M18" s="106">
        <v>1.3497916666666672</v>
      </c>
      <c r="N18" s="106">
        <v>1.3225</v>
      </c>
      <c r="O18" s="106">
        <v>0.03016038289243438</v>
      </c>
      <c r="P18" s="106">
        <v>0.03125852998600301</v>
      </c>
      <c r="Q18" s="106"/>
      <c r="R18" s="153">
        <v>24.13150000009721</v>
      </c>
      <c r="S18" s="106"/>
      <c r="T18" s="106">
        <f t="shared" si="0"/>
        <v>2.230317466759442</v>
      </c>
      <c r="U18" s="106">
        <v>0.06294026704990868</v>
      </c>
      <c r="V18" s="106">
        <v>1.9654343809290433</v>
      </c>
      <c r="W18" s="106">
        <v>51.70801196576109</v>
      </c>
      <c r="X18" s="106">
        <v>0</v>
      </c>
      <c r="Y18" s="106">
        <v>297.56505493409287</v>
      </c>
      <c r="Z18" s="106">
        <v>0</v>
      </c>
      <c r="AA18" s="106">
        <f t="shared" si="1"/>
        <v>2.5471256754649687</v>
      </c>
      <c r="AB18" s="106">
        <f t="shared" si="40"/>
        <v>100</v>
      </c>
      <c r="AC18" s="106">
        <v>74.84102127060027</v>
      </c>
      <c r="AD18" s="106">
        <v>0</v>
      </c>
      <c r="AE18" s="106">
        <v>2.382777697191156</v>
      </c>
      <c r="AF18" s="106">
        <v>1.8947111543848514</v>
      </c>
      <c r="AG18" s="106">
        <v>1039.0342135030305</v>
      </c>
      <c r="AH18" s="46">
        <f t="shared" si="2"/>
        <v>935.6657002732671</v>
      </c>
      <c r="AI18" s="106">
        <v>14.78431734528308</v>
      </c>
      <c r="AJ18" s="108"/>
      <c r="AL18" s="106">
        <v>89.1696935172832</v>
      </c>
      <c r="AM18" s="106">
        <v>0</v>
      </c>
      <c r="AN18" s="106">
        <v>9.353962176723753</v>
      </c>
      <c r="AO18" s="106">
        <v>4.261373446860705</v>
      </c>
      <c r="AP18" s="106">
        <v>1.1718201428698534</v>
      </c>
      <c r="AQ18" s="106">
        <v>30.78860510347117</v>
      </c>
      <c r="AR18" s="106">
        <v>2.852034394866575</v>
      </c>
      <c r="AS18" s="108"/>
      <c r="AT18" s="106">
        <f t="shared" si="41"/>
        <v>51.70801196576109</v>
      </c>
      <c r="AU18" s="106">
        <v>386.73474845137605</v>
      </c>
      <c r="AV18" s="106">
        <v>0</v>
      </c>
      <c r="AW18" s="106">
        <v>84.19498344732402</v>
      </c>
      <c r="AX18" s="106">
        <v>6.644151144051861</v>
      </c>
      <c r="AY18" s="106">
        <v>3.0665312972547047</v>
      </c>
      <c r="AZ18" s="106">
        <v>1069.8228186065016</v>
      </c>
      <c r="BA18" s="106">
        <v>17.636351740149657</v>
      </c>
      <c r="BB18" s="108"/>
      <c r="BC18" s="106">
        <v>12.8717682051346</v>
      </c>
      <c r="BD18" s="106">
        <v>0.2993151219706649</v>
      </c>
      <c r="BE18" s="106">
        <v>9.63281425354809</v>
      </c>
      <c r="BF18" s="106">
        <v>0</v>
      </c>
      <c r="BG18" s="106">
        <v>1927.4198745560545</v>
      </c>
      <c r="BH18" s="106">
        <v>0</v>
      </c>
      <c r="BI18" s="106">
        <f t="shared" si="42"/>
        <v>8.245663934041499</v>
      </c>
      <c r="BJ18" s="106">
        <f t="shared" si="43"/>
        <v>100</v>
      </c>
      <c r="BK18" s="106">
        <v>226.11958459428683</v>
      </c>
      <c r="BL18" s="106">
        <v>0</v>
      </c>
      <c r="BM18" s="106">
        <v>3.915927499310832</v>
      </c>
      <c r="BN18" s="106">
        <v>2.5189481421599536</v>
      </c>
      <c r="BO18" s="106">
        <v>308.6280117033548</v>
      </c>
      <c r="BP18" s="121">
        <v>0</v>
      </c>
      <c r="BQ18" s="106">
        <v>7.959645175788283</v>
      </c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8"/>
      <c r="CF18" s="106">
        <f t="shared" si="61"/>
        <v>12.934708472184509</v>
      </c>
      <c r="CG18" s="106">
        <f t="shared" si="62"/>
        <v>2.2647495028997082</v>
      </c>
      <c r="CH18" s="106">
        <f t="shared" si="4"/>
        <v>61.34082621930918</v>
      </c>
      <c r="CI18" s="106">
        <f t="shared" si="5"/>
        <v>0</v>
      </c>
      <c r="CJ18" s="106">
        <f t="shared" si="6"/>
        <v>2224.9849294901474</v>
      </c>
      <c r="CK18" s="106">
        <f t="shared" si="7"/>
        <v>0</v>
      </c>
      <c r="CL18" s="106">
        <f t="shared" si="8"/>
        <v>300.9606058648871</v>
      </c>
      <c r="CM18" s="106">
        <f t="shared" si="9"/>
        <v>0</v>
      </c>
      <c r="CN18" s="106">
        <f t="shared" si="10"/>
        <v>6.298705196501988</v>
      </c>
      <c r="CO18" s="106">
        <f t="shared" si="11"/>
        <v>4.413659296544805</v>
      </c>
      <c r="CP18" s="106">
        <f t="shared" si="12"/>
        <v>1347.6622252063853</v>
      </c>
      <c r="CQ18" s="121">
        <f t="shared" si="13"/>
        <v>909.6647497450824</v>
      </c>
      <c r="CR18" s="106">
        <f t="shared" si="14"/>
        <v>22.743962521071364</v>
      </c>
      <c r="CS18" s="106"/>
      <c r="CT18" s="106"/>
      <c r="CU18" s="106"/>
      <c r="CV18" s="106"/>
      <c r="CW18" s="108"/>
      <c r="CX18" s="121">
        <f t="shared" si="15"/>
        <v>61.34082621930918</v>
      </c>
      <c r="CY18" s="106">
        <v>2314.1546230074305</v>
      </c>
      <c r="CZ18" s="106">
        <v>0</v>
      </c>
      <c r="DA18" s="106">
        <v>310.31456804161087</v>
      </c>
      <c r="DB18" s="106">
        <v>10.560078643362694</v>
      </c>
      <c r="DC18" s="106">
        <v>5.585479439414659</v>
      </c>
      <c r="DD18" s="106">
        <v>1378.4508303098564</v>
      </c>
      <c r="DE18" s="46">
        <f t="shared" si="16"/>
        <v>940.4533548485535</v>
      </c>
      <c r="DF18" s="106">
        <v>25.59599691593794</v>
      </c>
      <c r="DH18" s="121">
        <v>410.3553522420142</v>
      </c>
      <c r="DI18" s="121">
        <v>1328.4198580053173</v>
      </c>
      <c r="DJ18" s="121">
        <v>1738.7752102473314</v>
      </c>
      <c r="DK18" s="121">
        <f t="shared" si="44"/>
        <v>900.7874227298537</v>
      </c>
      <c r="DL18" s="121">
        <f t="shared" si="45"/>
        <v>3880.197065823871</v>
      </c>
      <c r="DM18" s="121"/>
      <c r="DN18" s="121"/>
      <c r="DO18" s="121"/>
      <c r="DP18" s="121"/>
      <c r="DQ18" s="121">
        <f t="shared" si="46"/>
        <v>4780.984488553725</v>
      </c>
      <c r="DR18" s="121">
        <f t="shared" si="47"/>
        <v>4.780984488553725</v>
      </c>
      <c r="DS18" s="121">
        <v>159.1073652439564</v>
      </c>
      <c r="DT18" s="121">
        <v>-9.99487233632507</v>
      </c>
      <c r="DU18" s="121">
        <v>159.1073652439564</v>
      </c>
      <c r="DV18" s="121">
        <v>0</v>
      </c>
      <c r="DW18" s="121">
        <v>0</v>
      </c>
      <c r="DX18" s="121">
        <v>0</v>
      </c>
      <c r="DY18" s="122">
        <f t="shared" si="17"/>
        <v>-15.429361244299734</v>
      </c>
      <c r="DZ18" s="122">
        <f t="shared" si="18"/>
        <v>-49.948586660999936</v>
      </c>
      <c r="EA18" s="121"/>
      <c r="EB18" s="121">
        <v>17.73013703951722</v>
      </c>
      <c r="EC18" s="121">
        <f t="shared" si="49"/>
        <v>-31.512505229524482</v>
      </c>
      <c r="ED18" s="121">
        <v>98.20418201923299</v>
      </c>
      <c r="EE18" s="121">
        <f t="shared" si="50"/>
        <v>-61.2062009414051</v>
      </c>
      <c r="EF18" s="121">
        <v>115.9343190587502</v>
      </c>
      <c r="EG18" s="121"/>
      <c r="EH18" s="121">
        <v>0</v>
      </c>
      <c r="EI18" s="121">
        <f t="shared" si="51"/>
        <v>-15.671489470238008</v>
      </c>
      <c r="EJ18" s="121">
        <v>0</v>
      </c>
      <c r="EK18" s="121">
        <f t="shared" si="52"/>
        <v>-50.73241448671891</v>
      </c>
      <c r="EL18" s="121">
        <v>0</v>
      </c>
      <c r="EM18" s="121"/>
      <c r="EO18" s="46">
        <f t="shared" si="19"/>
        <v>935.6657002732671</v>
      </c>
      <c r="EP18" s="46">
        <f t="shared" si="20"/>
        <v>892.5803156850134</v>
      </c>
      <c r="EQ18" s="121">
        <f t="shared" si="58"/>
        <v>159.1073652439564</v>
      </c>
      <c r="ER18" s="106">
        <f t="shared" si="59"/>
        <v>74.84102127060027</v>
      </c>
      <c r="ES18" s="106">
        <f t="shared" si="60"/>
        <v>72.79819281059913</v>
      </c>
      <c r="ET18" s="106"/>
      <c r="EU18" s="123">
        <v>1.358803766979036</v>
      </c>
      <c r="EV18" s="123">
        <v>1038.144719597765</v>
      </c>
      <c r="EW18" s="123"/>
      <c r="EX18" s="123"/>
      <c r="EY18" s="124">
        <f t="shared" si="21"/>
        <v>1.3497916666666672</v>
      </c>
      <c r="EZ18" s="124">
        <f t="shared" si="53"/>
        <v>2.294645833333334</v>
      </c>
      <c r="FA18" s="124">
        <f t="shared" si="22"/>
        <v>3.1744961186481806</v>
      </c>
      <c r="FB18" s="121">
        <f t="shared" si="23"/>
        <v>2.1363513990504157</v>
      </c>
      <c r="FC18" s="109">
        <f t="shared" si="24"/>
        <v>2.3518415449160766</v>
      </c>
      <c r="FD18" s="109">
        <f t="shared" si="25"/>
        <v>1.5827267657728032</v>
      </c>
      <c r="FE18" s="109">
        <f t="shared" si="26"/>
        <v>29.474463514912365</v>
      </c>
      <c r="FF18" s="109">
        <f t="shared" si="27"/>
        <v>28.11722813084136</v>
      </c>
      <c r="FG18" s="109">
        <f t="shared" si="28"/>
        <v>5.012051024705938</v>
      </c>
      <c r="FH18" s="109">
        <f t="shared" si="29"/>
        <v>2.3575716735313064</v>
      </c>
      <c r="FI18" s="109">
        <f t="shared" si="30"/>
        <v>2.293220406947586</v>
      </c>
      <c r="FJ18" s="109">
        <f t="shared" si="31"/>
        <v>0.04280376211509326</v>
      </c>
      <c r="FK18" s="109">
        <f t="shared" si="32"/>
        <v>32.70266148694635</v>
      </c>
      <c r="FL18" s="109">
        <f t="shared" si="33"/>
        <v>43.7973687610175</v>
      </c>
      <c r="FM18" s="109">
        <f t="shared" si="34"/>
        <v>41.780594525870384</v>
      </c>
      <c r="FN18" s="109">
        <f t="shared" si="35"/>
        <v>7.447621459404002</v>
      </c>
      <c r="FO18" s="109">
        <f t="shared" si="36"/>
        <v>3.503216807116389</v>
      </c>
      <c r="FP18" s="109">
        <f t="shared" si="37"/>
        <v>3.4075945016796916</v>
      </c>
      <c r="FQ18" s="123"/>
      <c r="FR18" s="121">
        <f t="shared" si="54"/>
        <v>31.780068447239533</v>
      </c>
      <c r="FS18" s="121">
        <f t="shared" si="55"/>
        <v>64.47175595582378</v>
      </c>
      <c r="FT18" s="106">
        <f t="shared" si="38"/>
        <v>28.099246086270682</v>
      </c>
      <c r="FU18" s="106">
        <f t="shared" si="39"/>
        <v>65.05844900685322</v>
      </c>
      <c r="FV18" s="106">
        <f t="shared" si="56"/>
        <v>0.8841782745974994</v>
      </c>
      <c r="FW18" s="106">
        <f t="shared" si="57"/>
        <v>1.0091000011141538</v>
      </c>
    </row>
    <row r="19" spans="1:179" ht="12.75">
      <c r="A19" s="80">
        <v>730</v>
      </c>
      <c r="B19" s="80">
        <v>630</v>
      </c>
      <c r="C19" s="80">
        <v>880</v>
      </c>
      <c r="D19" s="79" t="s">
        <v>134</v>
      </c>
      <c r="E19" s="119">
        <v>3</v>
      </c>
      <c r="F19" s="120">
        <v>36486.59722222222</v>
      </c>
      <c r="G19" s="120">
        <v>36487.59027777778</v>
      </c>
      <c r="H19" s="119"/>
      <c r="I19" s="81">
        <v>-17.666666666666668</v>
      </c>
      <c r="J19" s="46">
        <v>3.4</v>
      </c>
      <c r="K19" s="81">
        <v>-22.275</v>
      </c>
      <c r="L19" s="46">
        <v>7.433333333333334</v>
      </c>
      <c r="M19" s="106">
        <v>1.2848936170212768</v>
      </c>
      <c r="N19" s="106">
        <v>1.2848936170212768</v>
      </c>
      <c r="O19" s="106">
        <v>0.019834694779732612</v>
      </c>
      <c r="P19" s="106">
        <v>0.019834694779732612</v>
      </c>
      <c r="Q19" s="106"/>
      <c r="R19" s="153">
        <v>23.88100000015553</v>
      </c>
      <c r="S19" s="106"/>
      <c r="T19" s="106">
        <f t="shared" si="0"/>
        <v>3.275954105538606</v>
      </c>
      <c r="U19" s="106">
        <v>1.417535965304378</v>
      </c>
      <c r="V19" s="106">
        <v>2.181464194544099</v>
      </c>
      <c r="W19" s="106">
        <v>78.21873736374161</v>
      </c>
      <c r="X19" s="106">
        <v>0</v>
      </c>
      <c r="Y19" s="106">
        <v>737.0792544584823</v>
      </c>
      <c r="Z19" s="106">
        <v>0</v>
      </c>
      <c r="AA19" s="106">
        <f t="shared" si="1"/>
        <v>4.618164234928988</v>
      </c>
      <c r="AB19" s="106">
        <f t="shared" si="40"/>
        <v>100</v>
      </c>
      <c r="AC19" s="106">
        <v>104.76708591321896</v>
      </c>
      <c r="AD19" s="106">
        <v>0</v>
      </c>
      <c r="AE19" s="106">
        <v>7.625777382248675</v>
      </c>
      <c r="AF19" s="106">
        <v>3.020317361062361</v>
      </c>
      <c r="AG19" s="106">
        <v>1230.711393567279</v>
      </c>
      <c r="AH19" s="46">
        <f t="shared" si="2"/>
        <v>1043.295132401314</v>
      </c>
      <c r="AI19" s="106">
        <v>18.532848341295406</v>
      </c>
      <c r="AJ19" s="108"/>
      <c r="AL19" s="106">
        <v>115.18774168180028</v>
      </c>
      <c r="AM19" s="106">
        <v>1.1887646618108119</v>
      </c>
      <c r="AN19" s="106">
        <v>10.77344725189056</v>
      </c>
      <c r="AO19" s="106">
        <v>4.017605813986833</v>
      </c>
      <c r="AP19" s="106">
        <v>4.075764554779926</v>
      </c>
      <c r="AQ19" s="106">
        <v>24.93045152809425</v>
      </c>
      <c r="AR19" s="106">
        <v>1.2251962420068252</v>
      </c>
      <c r="AS19" s="108"/>
      <c r="AT19" s="106">
        <f t="shared" si="41"/>
        <v>78.21873736374161</v>
      </c>
      <c r="AU19" s="106">
        <v>852.2669961402826</v>
      </c>
      <c r="AV19" s="106">
        <v>1.1887646618108119</v>
      </c>
      <c r="AW19" s="106">
        <v>115.54053316510952</v>
      </c>
      <c r="AX19" s="106">
        <v>11.643383196235508</v>
      </c>
      <c r="AY19" s="106">
        <v>7.096081915842287</v>
      </c>
      <c r="AZ19" s="106">
        <v>1255.6418450953731</v>
      </c>
      <c r="BA19" s="106">
        <v>19.75804458330223</v>
      </c>
      <c r="BB19" s="108"/>
      <c r="BC19" s="106">
        <v>25.689114405013527</v>
      </c>
      <c r="BD19" s="106">
        <v>0.8925788944792393</v>
      </c>
      <c r="BE19" s="106">
        <v>-4.073730146678247</v>
      </c>
      <c r="BF19" s="106">
        <v>0</v>
      </c>
      <c r="BG19" s="106">
        <v>871.0952235766778</v>
      </c>
      <c r="BH19" s="106">
        <v>0</v>
      </c>
      <c r="BI19" s="106">
        <f t="shared" si="42"/>
        <v>3.572242109116037</v>
      </c>
      <c r="BJ19" s="106">
        <f t="shared" si="43"/>
        <v>100</v>
      </c>
      <c r="BK19" s="106">
        <v>80.48158681987287</v>
      </c>
      <c r="BL19" s="106">
        <v>0</v>
      </c>
      <c r="BM19" s="106">
        <v>0.5943736218433437</v>
      </c>
      <c r="BN19" s="106">
        <v>1.104944521160259</v>
      </c>
      <c r="BO19" s="106">
        <v>51.84585989444413</v>
      </c>
      <c r="BP19" s="121">
        <v>0</v>
      </c>
      <c r="BQ19" s="106">
        <v>1.7042946816641409</v>
      </c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8"/>
      <c r="CF19" s="106">
        <f t="shared" si="61"/>
        <v>27.106650370317904</v>
      </c>
      <c r="CG19" s="106">
        <f t="shared" si="62"/>
        <v>3.0740430890233386</v>
      </c>
      <c r="CH19" s="106">
        <f t="shared" si="4"/>
        <v>78.21873736374161</v>
      </c>
      <c r="CI19" s="106">
        <f t="shared" si="5"/>
        <v>0</v>
      </c>
      <c r="CJ19" s="106">
        <f t="shared" si="6"/>
        <v>1608.17447803516</v>
      </c>
      <c r="CK19" s="106">
        <f t="shared" si="7"/>
        <v>0</v>
      </c>
      <c r="CL19" s="106">
        <f t="shared" si="8"/>
        <v>185.24867273309184</v>
      </c>
      <c r="CM19" s="106">
        <f t="shared" si="9"/>
        <v>0</v>
      </c>
      <c r="CN19" s="106">
        <f t="shared" si="10"/>
        <v>8.220151004092019</v>
      </c>
      <c r="CO19" s="106">
        <f t="shared" si="11"/>
        <v>4.12526188222262</v>
      </c>
      <c r="CP19" s="106">
        <f t="shared" si="12"/>
        <v>1282.5572534617231</v>
      </c>
      <c r="CQ19" s="121">
        <f t="shared" si="13"/>
        <v>950.1707777229449</v>
      </c>
      <c r="CR19" s="106">
        <f t="shared" si="14"/>
        <v>20.237143022959547</v>
      </c>
      <c r="CS19" s="106"/>
      <c r="CT19" s="106"/>
      <c r="CU19" s="106"/>
      <c r="CV19" s="106"/>
      <c r="CW19" s="108"/>
      <c r="CX19" s="121">
        <f t="shared" si="15"/>
        <v>78.21873736374161</v>
      </c>
      <c r="CY19" s="106">
        <v>1723.3622197169602</v>
      </c>
      <c r="CZ19" s="106">
        <v>1.1887646618108119</v>
      </c>
      <c r="DA19" s="106">
        <v>196.0221199849824</v>
      </c>
      <c r="DB19" s="106">
        <v>12.237756818078852</v>
      </c>
      <c r="DC19" s="106">
        <v>8.201026437002547</v>
      </c>
      <c r="DD19" s="106">
        <v>1307.4877049898173</v>
      </c>
      <c r="DE19" s="46">
        <f t="shared" si="16"/>
        <v>975.1012292510391</v>
      </c>
      <c r="DF19" s="106">
        <v>21.46233926496637</v>
      </c>
      <c r="DH19" s="121">
        <v>744.0105643746123</v>
      </c>
      <c r="DI19" s="121">
        <v>575.507005052852</v>
      </c>
      <c r="DJ19" s="121">
        <v>1319.5175694274644</v>
      </c>
      <c r="DK19" s="121">
        <f t="shared" si="44"/>
        <v>1830.7747840891625</v>
      </c>
      <c r="DL19" s="121">
        <f t="shared" si="45"/>
        <v>1717.0905210043702</v>
      </c>
      <c r="DM19" s="121"/>
      <c r="DN19" s="121"/>
      <c r="DO19" s="121"/>
      <c r="DP19" s="121"/>
      <c r="DQ19" s="121">
        <f t="shared" si="46"/>
        <v>3547.8653050935327</v>
      </c>
      <c r="DR19" s="121">
        <f t="shared" si="47"/>
        <v>3.5478653050935325</v>
      </c>
      <c r="DS19" s="121">
        <v>109.47705551227037</v>
      </c>
      <c r="DT19" s="121">
        <v>-8.37904716738212</v>
      </c>
      <c r="DU19" s="121">
        <v>109.47705551227037</v>
      </c>
      <c r="DV19" s="121">
        <v>0</v>
      </c>
      <c r="DW19" s="121">
        <v>0</v>
      </c>
      <c r="DX19" s="121">
        <v>0</v>
      </c>
      <c r="DY19" s="122">
        <f t="shared" si="17"/>
        <v>-27.974797220485424</v>
      </c>
      <c r="DZ19" s="122">
        <f t="shared" si="18"/>
        <v>-21.63906338998724</v>
      </c>
      <c r="EA19" s="121"/>
      <c r="EB19" s="121">
        <v>42.953031838781065</v>
      </c>
      <c r="EC19" s="121">
        <f t="shared" si="49"/>
        <v>-46.3282358861724</v>
      </c>
      <c r="ED19" s="121">
        <v>43.29686480014049</v>
      </c>
      <c r="EE19" s="121">
        <f t="shared" si="50"/>
        <v>-25.76397580620175</v>
      </c>
      <c r="EF19" s="121">
        <v>86.24989663892156</v>
      </c>
      <c r="EG19" s="121"/>
      <c r="EH19" s="121">
        <v>0</v>
      </c>
      <c r="EI19" s="121">
        <f t="shared" si="51"/>
        <v>-28.41379711910284</v>
      </c>
      <c r="EJ19" s="121">
        <v>0</v>
      </c>
      <c r="EK19" s="121">
        <f t="shared" si="52"/>
        <v>-21.978638564009373</v>
      </c>
      <c r="EL19" s="121">
        <v>0</v>
      </c>
      <c r="EM19" s="121"/>
      <c r="EO19" s="46">
        <f t="shared" si="19"/>
        <v>1043.295132401314</v>
      </c>
      <c r="EP19" s="46">
        <f t="shared" si="20"/>
        <v>1815.8945728016702</v>
      </c>
      <c r="EQ19" s="121">
        <f t="shared" si="58"/>
        <v>109.47705551227037</v>
      </c>
      <c r="ER19" s="106">
        <f t="shared" si="59"/>
        <v>104.76708591321896</v>
      </c>
      <c r="ES19" s="106">
        <f t="shared" si="60"/>
        <v>110.99668060819651</v>
      </c>
      <c r="ET19" s="106"/>
      <c r="EU19" s="123">
        <v>5.821639610815962</v>
      </c>
      <c r="EV19" s="123">
        <v>943.1486851235375</v>
      </c>
      <c r="EW19" s="123"/>
      <c r="EX19" s="123"/>
      <c r="EY19" s="124">
        <f t="shared" si="21"/>
        <v>1.2848936170212768</v>
      </c>
      <c r="EZ19" s="124">
        <f t="shared" si="53"/>
        <v>2.1843191489361704</v>
      </c>
      <c r="FA19" s="124">
        <f t="shared" si="22"/>
        <v>4.133400851971024</v>
      </c>
      <c r="FB19" s="121">
        <f t="shared" si="23"/>
        <v>3.1902521668474866</v>
      </c>
      <c r="FC19" s="109">
        <f t="shared" si="24"/>
        <v>3.2169206829382038</v>
      </c>
      <c r="FD19" s="109">
        <f t="shared" si="25"/>
        <v>2.482892065604104</v>
      </c>
      <c r="FE19" s="109">
        <f t="shared" si="26"/>
        <v>25.240598958695614</v>
      </c>
      <c r="FF19" s="109">
        <f t="shared" si="27"/>
        <v>43.93221557342437</v>
      </c>
      <c r="FG19" s="109">
        <f t="shared" si="28"/>
        <v>2.6485951746021903</v>
      </c>
      <c r="FH19" s="109">
        <f t="shared" si="29"/>
        <v>2.534646158580542</v>
      </c>
      <c r="FI19" s="109">
        <f t="shared" si="30"/>
        <v>2.6853596973365748</v>
      </c>
      <c r="FJ19" s="109">
        <f t="shared" si="31"/>
        <v>0.1408438189110039</v>
      </c>
      <c r="FK19" s="109">
        <f t="shared" si="32"/>
        <v>22.817740618449676</v>
      </c>
      <c r="FL19" s="109">
        <f t="shared" si="33"/>
        <v>32.70259145164276</v>
      </c>
      <c r="FM19" s="109">
        <f t="shared" si="34"/>
        <v>56.92009527247132</v>
      </c>
      <c r="FN19" s="109">
        <f t="shared" si="35"/>
        <v>3.4316113519155564</v>
      </c>
      <c r="FO19" s="109">
        <f t="shared" si="36"/>
        <v>3.28397507262715</v>
      </c>
      <c r="FP19" s="109">
        <f t="shared" si="37"/>
        <v>3.479244736878595</v>
      </c>
      <c r="FQ19" s="123"/>
      <c r="FR19" s="121">
        <f t="shared" si="54"/>
        <v>48.91576343797962</v>
      </c>
      <c r="FS19" s="121">
        <f t="shared" si="55"/>
        <v>26.873224443045416</v>
      </c>
      <c r="FT19" s="106">
        <f t="shared" si="38"/>
        <v>41.8665865942649</v>
      </c>
      <c r="FU19" s="106">
        <f t="shared" si="39"/>
        <v>28.02029026155121</v>
      </c>
      <c r="FV19" s="106">
        <f t="shared" si="56"/>
        <v>0.8558915092339838</v>
      </c>
      <c r="FW19" s="106">
        <f t="shared" si="57"/>
        <v>1.0426843388643914</v>
      </c>
    </row>
    <row r="20" spans="1:179" ht="12.75">
      <c r="A20" s="80">
        <v>515</v>
      </c>
      <c r="B20" s="80">
        <v>390</v>
      </c>
      <c r="C20" s="80">
        <v>630</v>
      </c>
      <c r="D20" s="79" t="s">
        <v>135</v>
      </c>
      <c r="E20" s="119">
        <v>3</v>
      </c>
      <c r="F20" s="120">
        <v>36487.592361111114</v>
      </c>
      <c r="G20" s="120">
        <v>36488.586805555555</v>
      </c>
      <c r="H20" s="119"/>
      <c r="I20" s="81">
        <v>-22.298333333333332</v>
      </c>
      <c r="J20" s="46">
        <v>7.45</v>
      </c>
      <c r="K20" s="81">
        <v>-26.216666666666665</v>
      </c>
      <c r="L20" s="46">
        <v>11</v>
      </c>
      <c r="M20" s="106">
        <v>1.0991666666666662</v>
      </c>
      <c r="N20" s="106">
        <v>1.091875</v>
      </c>
      <c r="O20" s="106">
        <v>0.016951355860478856</v>
      </c>
      <c r="P20" s="106">
        <v>0.01711870623706694</v>
      </c>
      <c r="Q20" s="106"/>
      <c r="R20" s="153">
        <v>23.91439999991446</v>
      </c>
      <c r="S20" s="106"/>
      <c r="T20" s="106">
        <f t="shared" si="0"/>
        <v>2.6654146974605757</v>
      </c>
      <c r="U20" s="106">
        <v>0.4956083526116784</v>
      </c>
      <c r="V20" s="106">
        <v>1.303997955547128</v>
      </c>
      <c r="W20" s="106">
        <v>45.227189417700586</v>
      </c>
      <c r="X20" s="106">
        <v>0</v>
      </c>
      <c r="Y20" s="106">
        <v>831.4571391257475</v>
      </c>
      <c r="Z20" s="106">
        <v>1.2714527801983502</v>
      </c>
      <c r="AA20" s="106">
        <f t="shared" si="1"/>
        <v>4.189530773868341</v>
      </c>
      <c r="AB20" s="106">
        <f t="shared" si="40"/>
        <v>69.6516662885287</v>
      </c>
      <c r="AC20" s="106">
        <v>93.8012547970219</v>
      </c>
      <c r="AD20" s="106">
        <v>0</v>
      </c>
      <c r="AE20" s="106">
        <v>2.350977746563716</v>
      </c>
      <c r="AF20" s="106">
        <v>1.7911105164037795</v>
      </c>
      <c r="AG20" s="106">
        <v>733.2377556865271</v>
      </c>
      <c r="AH20" s="46">
        <f t="shared" si="2"/>
        <v>563.2164758586066</v>
      </c>
      <c r="AI20" s="106">
        <v>12.879871150307103</v>
      </c>
      <c r="AJ20" s="108"/>
      <c r="AL20" s="106">
        <v>80.64962315662427</v>
      </c>
      <c r="AM20" s="106">
        <v>0</v>
      </c>
      <c r="AN20" s="106">
        <v>9.483018341454741</v>
      </c>
      <c r="AO20" s="106">
        <v>3.512528016605077</v>
      </c>
      <c r="AP20" s="106">
        <v>1.2033660797628505</v>
      </c>
      <c r="AQ20" s="106">
        <v>26.656542671348124</v>
      </c>
      <c r="AR20" s="106">
        <v>2.2584259230688466</v>
      </c>
      <c r="AS20" s="108"/>
      <c r="AT20" s="106">
        <f t="shared" si="41"/>
        <v>45.227189417700586</v>
      </c>
      <c r="AU20" s="106">
        <v>912.1067622823718</v>
      </c>
      <c r="AV20" s="106">
        <v>1.2714527801983502</v>
      </c>
      <c r="AW20" s="106">
        <v>103.28427313847664</v>
      </c>
      <c r="AX20" s="106">
        <v>5.863505763168793</v>
      </c>
      <c r="AY20" s="106">
        <v>2.99447659616663</v>
      </c>
      <c r="AZ20" s="106">
        <v>759.8942983578752</v>
      </c>
      <c r="BA20" s="106">
        <v>15.13829707337595</v>
      </c>
      <c r="BB20" s="108"/>
      <c r="BC20" s="106">
        <v>22.14488931823578</v>
      </c>
      <c r="BD20" s="106">
        <v>1.3510420199350737</v>
      </c>
      <c r="BE20" s="106">
        <v>6.958132557414249</v>
      </c>
      <c r="BF20" s="106">
        <v>0</v>
      </c>
      <c r="BG20" s="106">
        <v>1265.3914596342943</v>
      </c>
      <c r="BH20" s="106">
        <v>2.032631716183856</v>
      </c>
      <c r="BI20" s="106">
        <f t="shared" si="42"/>
        <v>5.158995727918055</v>
      </c>
      <c r="BJ20" s="106">
        <f t="shared" si="43"/>
        <v>60.600244245518354</v>
      </c>
      <c r="BK20" s="106">
        <v>44.32129097517364</v>
      </c>
      <c r="BL20" s="106">
        <v>1.1499347673409481</v>
      </c>
      <c r="BM20" s="106">
        <v>1.0507383742794156</v>
      </c>
      <c r="BN20" s="106">
        <v>0.8913736772297409</v>
      </c>
      <c r="BO20" s="106">
        <v>180.81043298753866</v>
      </c>
      <c r="BP20" s="121">
        <v>0</v>
      </c>
      <c r="BQ20" s="106">
        <v>0.8662757250324522</v>
      </c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8"/>
      <c r="CF20" s="106">
        <f t="shared" si="61"/>
        <v>22.64049767084746</v>
      </c>
      <c r="CG20" s="106">
        <f t="shared" si="62"/>
        <v>2.6550399754822016</v>
      </c>
      <c r="CH20" s="106">
        <f t="shared" si="4"/>
        <v>52.18532197511483</v>
      </c>
      <c r="CI20" s="106">
        <f t="shared" si="5"/>
        <v>0</v>
      </c>
      <c r="CJ20" s="106">
        <f t="shared" si="6"/>
        <v>2096.8485987600416</v>
      </c>
      <c r="CK20" s="106">
        <f t="shared" si="7"/>
        <v>3.304084496382206</v>
      </c>
      <c r="CL20" s="106">
        <f t="shared" si="8"/>
        <v>138.12254577219554</v>
      </c>
      <c r="CM20" s="106">
        <f t="shared" si="9"/>
        <v>1.1499347673409481</v>
      </c>
      <c r="CN20" s="106">
        <f t="shared" si="10"/>
        <v>3.4017161208431315</v>
      </c>
      <c r="CO20" s="106">
        <f t="shared" si="11"/>
        <v>2.6824841936335204</v>
      </c>
      <c r="CP20" s="106">
        <f t="shared" si="12"/>
        <v>914.0481886740657</v>
      </c>
      <c r="CQ20" s="121">
        <f t="shared" si="13"/>
        <v>534.6623991596562</v>
      </c>
      <c r="CR20" s="106">
        <f t="shared" si="14"/>
        <v>13.746146875339555</v>
      </c>
      <c r="CS20" s="106"/>
      <c r="CT20" s="106"/>
      <c r="CU20" s="106"/>
      <c r="CV20" s="106"/>
      <c r="CW20" s="108"/>
      <c r="CX20" s="121">
        <f t="shared" si="15"/>
        <v>52.18532197511483</v>
      </c>
      <c r="CY20" s="106">
        <v>2177.498221916666</v>
      </c>
      <c r="CZ20" s="106">
        <v>3.304084496382206</v>
      </c>
      <c r="DA20" s="106">
        <v>147.60556411365027</v>
      </c>
      <c r="DB20" s="106">
        <v>6.914244137448208</v>
      </c>
      <c r="DC20" s="106">
        <v>3.885850273396371</v>
      </c>
      <c r="DD20" s="106">
        <v>940.7047313454138</v>
      </c>
      <c r="DE20" s="46">
        <f t="shared" si="16"/>
        <v>561.3189418310044</v>
      </c>
      <c r="DF20" s="106">
        <v>16.004572798408404</v>
      </c>
      <c r="DH20" s="121">
        <v>674.9554578321574</v>
      </c>
      <c r="DI20" s="121">
        <v>831.1413643766929</v>
      </c>
      <c r="DJ20" s="121">
        <v>1506.0968222088507</v>
      </c>
      <c r="DK20" s="121">
        <f t="shared" si="44"/>
        <v>1823.641662139019</v>
      </c>
      <c r="DL20" s="121">
        <f t="shared" si="45"/>
        <v>2487.169265268033</v>
      </c>
      <c r="DM20" s="121"/>
      <c r="DN20" s="121"/>
      <c r="DO20" s="121"/>
      <c r="DP20" s="121"/>
      <c r="DQ20" s="121">
        <f t="shared" si="46"/>
        <v>4310.810927407052</v>
      </c>
      <c r="DR20" s="121">
        <f t="shared" si="47"/>
        <v>4.3108109274070525</v>
      </c>
      <c r="DS20" s="121">
        <v>70.9722248986879</v>
      </c>
      <c r="DT20" s="121">
        <v>-5.198979171610236</v>
      </c>
      <c r="DU20" s="121">
        <v>70.9722248986879</v>
      </c>
      <c r="DV20" s="121">
        <v>0</v>
      </c>
      <c r="DW20" s="121">
        <v>0</v>
      </c>
      <c r="DX20" s="121">
        <v>0</v>
      </c>
      <c r="DY20" s="122">
        <f t="shared" si="17"/>
        <v>-25.37832521448912</v>
      </c>
      <c r="DZ20" s="122">
        <f t="shared" si="18"/>
        <v>-31.250915300563655</v>
      </c>
      <c r="EA20" s="121"/>
      <c r="EB20" s="121">
        <v>38.98200342177614</v>
      </c>
      <c r="EC20" s="121">
        <f t="shared" si="49"/>
        <v>-42.01265151808275</v>
      </c>
      <c r="ED20" s="121">
        <v>66.91266466362673</v>
      </c>
      <c r="EE20" s="121">
        <f t="shared" si="50"/>
        <v>-32.82429906157641</v>
      </c>
      <c r="EF20" s="121">
        <v>105.89466808540287</v>
      </c>
      <c r="EG20" s="121"/>
      <c r="EH20" s="121">
        <v>0</v>
      </c>
      <c r="EI20" s="121">
        <f t="shared" si="51"/>
        <v>-25.776579475581034</v>
      </c>
      <c r="EJ20" s="121">
        <v>0</v>
      </c>
      <c r="EK20" s="121">
        <f t="shared" si="52"/>
        <v>-31.741326313752435</v>
      </c>
      <c r="EL20" s="121">
        <v>0</v>
      </c>
      <c r="EM20" s="121"/>
      <c r="EO20" s="46">
        <f t="shared" si="19"/>
        <v>563.2164758586066</v>
      </c>
      <c r="EP20" s="46">
        <f t="shared" si="20"/>
        <v>1810.1425529823757</v>
      </c>
      <c r="EQ20" s="121">
        <f t="shared" si="58"/>
        <v>70.9722248986879</v>
      </c>
      <c r="ER20" s="106">
        <f t="shared" si="59"/>
        <v>93.8012547970219</v>
      </c>
      <c r="ES20" s="106">
        <f t="shared" si="60"/>
        <v>65.32020791933235</v>
      </c>
      <c r="ET20" s="106"/>
      <c r="EU20" s="123">
        <v>0</v>
      </c>
      <c r="EV20" s="123">
        <v>1013.5005712105274</v>
      </c>
      <c r="EW20" s="123"/>
      <c r="EX20" s="123"/>
      <c r="EY20" s="124">
        <f t="shared" si="21"/>
        <v>1.0991666666666662</v>
      </c>
      <c r="EZ20" s="124">
        <f t="shared" si="53"/>
        <v>1.8685833333333324</v>
      </c>
      <c r="FA20" s="124">
        <f t="shared" si="22"/>
        <v>3.6169532876665516</v>
      </c>
      <c r="FB20" s="121">
        <f t="shared" si="23"/>
        <v>2.6034527164560246</v>
      </c>
      <c r="FC20" s="109">
        <f t="shared" si="24"/>
        <v>3.290632255648115</v>
      </c>
      <c r="FD20" s="109">
        <f t="shared" si="25"/>
        <v>2.3685695676627985</v>
      </c>
      <c r="FE20" s="109">
        <f t="shared" si="26"/>
        <v>15.571571736331746</v>
      </c>
      <c r="FF20" s="109">
        <f t="shared" si="27"/>
        <v>50.0460583539959</v>
      </c>
      <c r="FG20" s="109">
        <f t="shared" si="28"/>
        <v>1.9622101601559545</v>
      </c>
      <c r="FH20" s="109">
        <f t="shared" si="29"/>
        <v>2.593377556654513</v>
      </c>
      <c r="FI20" s="109">
        <f t="shared" si="30"/>
        <v>1.8059455769602475</v>
      </c>
      <c r="FJ20" s="109">
        <f t="shared" si="31"/>
        <v>0</v>
      </c>
      <c r="FK20" s="109">
        <f t="shared" si="32"/>
        <v>28.020836615901644</v>
      </c>
      <c r="FL20" s="109">
        <f t="shared" si="33"/>
        <v>21.63344363039904</v>
      </c>
      <c r="FM20" s="109">
        <f t="shared" si="34"/>
        <v>69.52853576102008</v>
      </c>
      <c r="FN20" s="109">
        <f t="shared" si="35"/>
        <v>2.726080809921508</v>
      </c>
      <c r="FO20" s="109">
        <f t="shared" si="36"/>
        <v>3.6029559593734337</v>
      </c>
      <c r="FP20" s="109">
        <f t="shared" si="37"/>
        <v>2.5089838392859356</v>
      </c>
      <c r="FQ20" s="123"/>
      <c r="FR20" s="121">
        <f t="shared" si="54"/>
        <v>40.68611358204892</v>
      </c>
      <c r="FS20" s="121">
        <f t="shared" si="55"/>
        <v>40.199816901889086</v>
      </c>
      <c r="FT20" s="106">
        <f t="shared" si="38"/>
        <v>36.407351127965896</v>
      </c>
      <c r="FU20" s="106">
        <f t="shared" si="39"/>
        <v>41.20076205674578</v>
      </c>
      <c r="FV20" s="106">
        <f t="shared" si="56"/>
        <v>0.8948348201050382</v>
      </c>
      <c r="FW20" s="106">
        <f t="shared" si="57"/>
        <v>1.0248992466134754</v>
      </c>
    </row>
    <row r="21" spans="1:179" ht="12.75">
      <c r="A21" s="80">
        <v>275</v>
      </c>
      <c r="B21" s="80">
        <v>180</v>
      </c>
      <c r="C21" s="80">
        <v>390</v>
      </c>
      <c r="D21" s="79" t="s">
        <v>136</v>
      </c>
      <c r="E21" s="119">
        <v>3</v>
      </c>
      <c r="F21" s="120">
        <v>36488.59027777778</v>
      </c>
      <c r="G21" s="120">
        <v>36489.59722222222</v>
      </c>
      <c r="H21" s="119"/>
      <c r="I21" s="81">
        <v>-26.233333333333334</v>
      </c>
      <c r="J21" s="46">
        <v>11.016666666666667</v>
      </c>
      <c r="K21" s="81">
        <v>-31.039166666666667</v>
      </c>
      <c r="L21" s="46">
        <v>15.546666666666667</v>
      </c>
      <c r="M21" s="106">
        <v>0.8685416666666668</v>
      </c>
      <c r="N21" s="106">
        <v>0.8627083333333334</v>
      </c>
      <c r="O21" s="106">
        <v>0.015056445142617132</v>
      </c>
      <c r="P21" s="106">
        <v>0.013662678381210585</v>
      </c>
      <c r="Q21" s="106"/>
      <c r="R21" s="153">
        <v>24.21499999984447</v>
      </c>
      <c r="S21" s="106"/>
      <c r="T21" s="106">
        <f t="shared" si="0"/>
        <v>1.9495437907957978</v>
      </c>
      <c r="U21" s="106">
        <v>42.51138371761487</v>
      </c>
      <c r="V21" s="106">
        <v>5.374963596851107</v>
      </c>
      <c r="W21" s="106">
        <v>30.535833883515057</v>
      </c>
      <c r="X21" s="106">
        <v>0</v>
      </c>
      <c r="Y21" s="106">
        <v>565.8190372029776</v>
      </c>
      <c r="Z21" s="106">
        <v>0</v>
      </c>
      <c r="AA21" s="106">
        <f t="shared" si="1"/>
        <v>2.8427079180640966</v>
      </c>
      <c r="AB21" s="106">
        <f t="shared" si="40"/>
        <v>100</v>
      </c>
      <c r="AC21" s="106">
        <v>80.28678509097334</v>
      </c>
      <c r="AD21" s="106">
        <v>0</v>
      </c>
      <c r="AE21" s="106">
        <v>4.368031486251012</v>
      </c>
      <c r="AF21" s="106">
        <v>1.5501995384044325</v>
      </c>
      <c r="AG21" s="106">
        <v>501.56719826529263</v>
      </c>
      <c r="AH21" s="46">
        <f t="shared" si="2"/>
        <v>386.2032435663864</v>
      </c>
      <c r="AI21" s="106">
        <v>10.082115602984079</v>
      </c>
      <c r="AJ21" s="108"/>
      <c r="AL21" s="106">
        <v>58.49994783844163</v>
      </c>
      <c r="AM21" s="106">
        <v>0</v>
      </c>
      <c r="AN21" s="106">
        <v>10.815271729790101</v>
      </c>
      <c r="AO21" s="106">
        <v>5.191915020566993</v>
      </c>
      <c r="AP21" s="106">
        <v>1.2916695345025262</v>
      </c>
      <c r="AQ21" s="106">
        <v>22.558214586451207</v>
      </c>
      <c r="AR21" s="106">
        <v>3.338645561312655</v>
      </c>
      <c r="AS21" s="108"/>
      <c r="AT21" s="106">
        <f t="shared" si="41"/>
        <v>30.535833883515057</v>
      </c>
      <c r="AU21" s="106">
        <v>624.3189850414192</v>
      </c>
      <c r="AV21" s="106">
        <v>0</v>
      </c>
      <c r="AW21" s="106">
        <v>91.10205682076344</v>
      </c>
      <c r="AX21" s="106">
        <v>9.559946506818005</v>
      </c>
      <c r="AY21" s="106">
        <v>2.8418690729069587</v>
      </c>
      <c r="AZ21" s="106">
        <v>524.1254128517438</v>
      </c>
      <c r="BA21" s="106">
        <v>13.420761164296733</v>
      </c>
      <c r="BB21" s="108"/>
      <c r="BC21" s="106">
        <v>66.04380581344695</v>
      </c>
      <c r="BD21" s="106">
        <v>6.384805295830019</v>
      </c>
      <c r="BE21" s="106">
        <v>5.222437367890425</v>
      </c>
      <c r="BF21" s="106">
        <v>0</v>
      </c>
      <c r="BG21" s="106">
        <v>2283.2740212649514</v>
      </c>
      <c r="BH21" s="106">
        <v>1.9869199141155907</v>
      </c>
      <c r="BI21" s="106">
        <f t="shared" si="42"/>
        <v>9.362941972291953</v>
      </c>
      <c r="BJ21" s="106">
        <f t="shared" si="43"/>
        <v>78.77889321544932</v>
      </c>
      <c r="BK21" s="106">
        <v>68.8108080075593</v>
      </c>
      <c r="BL21" s="106">
        <v>0</v>
      </c>
      <c r="BM21" s="106">
        <v>-0.4368031486251012</v>
      </c>
      <c r="BN21" s="106">
        <v>1.2325497343782565</v>
      </c>
      <c r="BO21" s="106">
        <v>605.9389758239556</v>
      </c>
      <c r="BP21" s="121">
        <f>BO21-0.2519*$DI21</f>
        <v>225.96817169168878</v>
      </c>
      <c r="BQ21" s="106">
        <v>2.2485110832171302</v>
      </c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8"/>
      <c r="CF21" s="106">
        <f t="shared" si="61"/>
        <v>108.55518953106181</v>
      </c>
      <c r="CG21" s="106">
        <f t="shared" si="62"/>
        <v>11.759768892681127</v>
      </c>
      <c r="CH21" s="106">
        <f t="shared" si="4"/>
        <v>35.75827125140548</v>
      </c>
      <c r="CI21" s="106">
        <f t="shared" si="5"/>
        <v>0</v>
      </c>
      <c r="CJ21" s="106">
        <f t="shared" si="6"/>
        <v>2849.093058467929</v>
      </c>
      <c r="CK21" s="106">
        <f t="shared" si="7"/>
        <v>1.9869199141155907</v>
      </c>
      <c r="CL21" s="106">
        <f t="shared" si="8"/>
        <v>149.09759309853263</v>
      </c>
      <c r="CM21" s="106">
        <f t="shared" si="9"/>
        <v>0</v>
      </c>
      <c r="CN21" s="106">
        <f t="shared" si="10"/>
        <v>3.9312283376259107</v>
      </c>
      <c r="CO21" s="106">
        <f t="shared" si="11"/>
        <v>2.782749272782689</v>
      </c>
      <c r="CP21" s="106">
        <f t="shared" si="12"/>
        <v>1107.5061740892484</v>
      </c>
      <c r="CQ21" s="121">
        <f t="shared" si="13"/>
        <v>612.1714152580753</v>
      </c>
      <c r="CR21" s="106">
        <f t="shared" si="14"/>
        <v>12.330626686201208</v>
      </c>
      <c r="CS21" s="106"/>
      <c r="CT21" s="106"/>
      <c r="CU21" s="106"/>
      <c r="CV21" s="106"/>
      <c r="CW21" s="108"/>
      <c r="CX21" s="121">
        <f t="shared" si="15"/>
        <v>35.75827125140548</v>
      </c>
      <c r="CY21" s="106">
        <v>2907.5930063063706</v>
      </c>
      <c r="CZ21" s="106">
        <v>1.9869199141155907</v>
      </c>
      <c r="DA21" s="106">
        <v>159.91286482832274</v>
      </c>
      <c r="DB21" s="106">
        <v>9.123143358192904</v>
      </c>
      <c r="DC21" s="106">
        <v>4.074418807285215</v>
      </c>
      <c r="DD21" s="106">
        <v>1130.0643886756993</v>
      </c>
      <c r="DE21" s="46">
        <f t="shared" si="16"/>
        <v>634.7296298445262</v>
      </c>
      <c r="DF21" s="106">
        <v>15.669272247513863</v>
      </c>
      <c r="DH21" s="121">
        <v>457.97520722074734</v>
      </c>
      <c r="DI21" s="121">
        <v>1508.419230378193</v>
      </c>
      <c r="DJ21" s="121">
        <v>1966.3944375989402</v>
      </c>
      <c r="DK21" s="121">
        <f t="shared" si="44"/>
        <v>1239.042591817476</v>
      </c>
      <c r="DL21" s="121">
        <f t="shared" si="45"/>
        <v>4500.650289920895</v>
      </c>
      <c r="DM21" s="121"/>
      <c r="DN21" s="121"/>
      <c r="DO21" s="121"/>
      <c r="DP21" s="121"/>
      <c r="DQ21" s="121">
        <f t="shared" si="46"/>
        <v>5739.692881738371</v>
      </c>
      <c r="DR21" s="121">
        <f t="shared" si="47"/>
        <v>5.739692881738371</v>
      </c>
      <c r="DS21" s="121">
        <v>63.96580236877755</v>
      </c>
      <c r="DT21" s="121">
        <v>-4.924089343620311</v>
      </c>
      <c r="DU21" s="121">
        <v>63.96580236877755</v>
      </c>
      <c r="DV21" s="121">
        <v>0</v>
      </c>
      <c r="DW21" s="121">
        <v>0</v>
      </c>
      <c r="DX21" s="121">
        <v>0</v>
      </c>
      <c r="DY21" s="122">
        <f t="shared" si="17"/>
        <v>-17.2198677915001</v>
      </c>
      <c r="DZ21" s="122">
        <f t="shared" si="18"/>
        <v>-56.71656306222006</v>
      </c>
      <c r="EA21" s="121"/>
      <c r="EB21" s="121">
        <v>26.414005274620756</v>
      </c>
      <c r="EC21" s="121">
        <f t="shared" si="49"/>
        <v>-28.54301959186892</v>
      </c>
      <c r="ED21" s="121">
        <v>120.39090753460218</v>
      </c>
      <c r="EE21" s="121">
        <f t="shared" si="50"/>
        <v>-60.61940011078099</v>
      </c>
      <c r="EF21" s="121">
        <v>146.80491280922294</v>
      </c>
      <c r="EG21" s="121"/>
      <c r="EH21" s="121">
        <v>0</v>
      </c>
      <c r="EI21" s="121">
        <f t="shared" si="51"/>
        <v>-17.490093886620397</v>
      </c>
      <c r="EJ21" s="121">
        <v>0</v>
      </c>
      <c r="EK21" s="121">
        <f t="shared" si="52"/>
        <v>-57.606598662407016</v>
      </c>
      <c r="EL21" s="121">
        <v>0</v>
      </c>
      <c r="EM21" s="121"/>
      <c r="EO21" s="46">
        <f t="shared" si="19"/>
        <v>386.2032435663864</v>
      </c>
      <c r="EP21" s="46">
        <f t="shared" si="20"/>
        <v>1229.8830876730613</v>
      </c>
      <c r="EQ21" s="121">
        <f t="shared" si="58"/>
        <v>63.96580236877755</v>
      </c>
      <c r="ER21" s="106">
        <f t="shared" si="59"/>
        <v>80.28678509097334</v>
      </c>
      <c r="ES21" s="106">
        <f t="shared" si="60"/>
        <v>94.42252782562055</v>
      </c>
      <c r="ET21" s="106"/>
      <c r="EU21" s="123">
        <v>5.598345651182241</v>
      </c>
      <c r="EV21" s="123">
        <v>863.8281278091348</v>
      </c>
      <c r="EW21" s="123"/>
      <c r="EX21" s="123"/>
      <c r="EY21" s="124">
        <f t="shared" si="21"/>
        <v>0.8685416666666668</v>
      </c>
      <c r="EZ21" s="124">
        <f t="shared" si="53"/>
        <v>1.4765208333333335</v>
      </c>
      <c r="FA21" s="124">
        <f t="shared" si="22"/>
        <v>2.7241879199851358</v>
      </c>
      <c r="FB21" s="121">
        <f t="shared" si="23"/>
        <v>1.8603597921760013</v>
      </c>
      <c r="FC21" s="109">
        <f t="shared" si="24"/>
        <v>3.1365080393208564</v>
      </c>
      <c r="FD21" s="109">
        <f t="shared" si="25"/>
        <v>2.14193499698844</v>
      </c>
      <c r="FE21" s="109">
        <f t="shared" si="26"/>
        <v>14.176820942972748</v>
      </c>
      <c r="FF21" s="109">
        <f t="shared" si="27"/>
        <v>45.14677855556206</v>
      </c>
      <c r="FG21" s="109">
        <f t="shared" si="28"/>
        <v>2.3480686445862577</v>
      </c>
      <c r="FH21" s="109">
        <f t="shared" si="29"/>
        <v>2.9471823328330236</v>
      </c>
      <c r="FI21" s="109">
        <f t="shared" si="30"/>
        <v>3.466079822648055</v>
      </c>
      <c r="FJ21" s="109">
        <f t="shared" si="31"/>
        <v>0.2055051198968971</v>
      </c>
      <c r="FK21" s="109">
        <f t="shared" si="32"/>
        <v>31.709564581500977</v>
      </c>
      <c r="FL21" s="109">
        <f t="shared" si="33"/>
        <v>20.759599578028787</v>
      </c>
      <c r="FM21" s="109">
        <f t="shared" si="34"/>
        <v>66.109958559925</v>
      </c>
      <c r="FN21" s="109">
        <f t="shared" si="35"/>
        <v>3.438356528548645</v>
      </c>
      <c r="FO21" s="109">
        <f t="shared" si="36"/>
        <v>4.315659015456604</v>
      </c>
      <c r="FP21" s="109">
        <f t="shared" si="37"/>
        <v>5.07549820323614</v>
      </c>
      <c r="FQ21" s="123"/>
      <c r="FR21" s="121">
        <f t="shared" si="54"/>
        <v>28.004259035761216</v>
      </c>
      <c r="FS21" s="121">
        <f t="shared" si="55"/>
        <v>78.1061314937831</v>
      </c>
      <c r="FT21" s="106">
        <f t="shared" si="38"/>
        <v>25.57874164046081</v>
      </c>
      <c r="FU21" s="106">
        <f t="shared" si="39"/>
        <v>74.94115688273004</v>
      </c>
      <c r="FV21" s="106">
        <f t="shared" si="56"/>
        <v>0.9133875532217067</v>
      </c>
      <c r="FW21" s="106">
        <f t="shared" si="57"/>
        <v>0.9594785383615501</v>
      </c>
    </row>
    <row r="22" spans="1:179" ht="12.75">
      <c r="A22" s="118">
        <v>275.8333333333333</v>
      </c>
      <c r="B22" s="80">
        <v>5</v>
      </c>
      <c r="C22" s="80">
        <v>640</v>
      </c>
      <c r="D22" s="79" t="s">
        <v>137</v>
      </c>
      <c r="E22" s="119">
        <v>4</v>
      </c>
      <c r="F22" s="120">
        <v>36495.42013888889</v>
      </c>
      <c r="G22" s="120">
        <v>36496.489583333336</v>
      </c>
      <c r="H22" s="119" t="s">
        <v>210</v>
      </c>
      <c r="I22" s="81">
        <v>-33.858333333333334</v>
      </c>
      <c r="J22" s="46">
        <v>18.316666666666666</v>
      </c>
      <c r="K22" s="81">
        <v>-38.56333333333333</v>
      </c>
      <c r="L22" s="46">
        <v>13.865</v>
      </c>
      <c r="M22" s="106">
        <v>4.394117647058823</v>
      </c>
      <c r="N22" s="106">
        <v>4.972619047619048</v>
      </c>
      <c r="O22" s="106">
        <v>0.018490544359072037</v>
      </c>
      <c r="P22" s="106">
        <v>0.019739421682648785</v>
      </c>
      <c r="Q22" s="106"/>
      <c r="R22" s="153">
        <v>25.71800000001944</v>
      </c>
      <c r="S22" s="106"/>
      <c r="T22" s="106">
        <f t="shared" si="0"/>
        <v>3.6449775696581734</v>
      </c>
      <c r="U22" s="106">
        <v>23.27258202851793</v>
      </c>
      <c r="V22" s="106">
        <v>14.766397585217609</v>
      </c>
      <c r="W22" s="106">
        <v>49.54504197515118</v>
      </c>
      <c r="X22" s="106">
        <v>0</v>
      </c>
      <c r="Y22" s="106">
        <v>749.4152046185022</v>
      </c>
      <c r="Z22" s="106">
        <v>0</v>
      </c>
      <c r="AA22" s="106">
        <f t="shared" si="1"/>
        <v>4.647619351496498</v>
      </c>
      <c r="AB22" s="106">
        <f t="shared" si="40"/>
        <v>100</v>
      </c>
      <c r="AC22" s="106">
        <v>207.01216484283668</v>
      </c>
      <c r="AD22" s="106">
        <v>0</v>
      </c>
      <c r="AE22" s="106">
        <v>17.4550595389176</v>
      </c>
      <c r="AF22" s="106">
        <v>20.44981782969309</v>
      </c>
      <c r="AG22" s="106">
        <v>1184.0779929860507</v>
      </c>
      <c r="AH22" s="46">
        <f t="shared" si="2"/>
        <v>995.4663720324158</v>
      </c>
      <c r="AI22" s="106">
        <v>102.96297674393296</v>
      </c>
      <c r="AJ22" s="108"/>
      <c r="AL22" s="106">
        <v>311.8283103124242</v>
      </c>
      <c r="AM22" s="106">
        <v>0</v>
      </c>
      <c r="AN22" s="106">
        <v>99.36631604496323</v>
      </c>
      <c r="AO22" s="106">
        <v>21.75303073505022</v>
      </c>
      <c r="AP22" s="106">
        <v>5.648875409350181</v>
      </c>
      <c r="AQ22" s="106">
        <v>13.463449461528505</v>
      </c>
      <c r="AR22" s="106">
        <v>0.7092101126745468</v>
      </c>
      <c r="AS22" s="108"/>
      <c r="AT22" s="106">
        <f t="shared" si="41"/>
        <v>49.54504197515118</v>
      </c>
      <c r="AU22" s="106">
        <v>1061.2435149309265</v>
      </c>
      <c r="AV22" s="106">
        <v>0</v>
      </c>
      <c r="AW22" s="106">
        <v>306.3784808877999</v>
      </c>
      <c r="AX22" s="106">
        <v>39.20809027396782</v>
      </c>
      <c r="AY22" s="106">
        <v>26.09869323904327</v>
      </c>
      <c r="AZ22" s="106">
        <v>1197.5414424475791</v>
      </c>
      <c r="BA22" s="106">
        <v>103.6721868566075</v>
      </c>
      <c r="BB22" s="108"/>
      <c r="BC22" s="106">
        <v>25.900712819324898</v>
      </c>
      <c r="BD22" s="106">
        <v>-1.476639758521761</v>
      </c>
      <c r="BE22" s="106">
        <v>0.7274870368732733</v>
      </c>
      <c r="BF22" s="106">
        <v>0</v>
      </c>
      <c r="BG22" s="106">
        <v>784.763805865515</v>
      </c>
      <c r="BH22" s="106">
        <v>0</v>
      </c>
      <c r="BI22" s="106">
        <f t="shared" si="42"/>
        <v>2.969572803706677</v>
      </c>
      <c r="BJ22" s="106">
        <f t="shared" si="43"/>
        <v>100</v>
      </c>
      <c r="BK22" s="106">
        <v>106.13232021905341</v>
      </c>
      <c r="BL22" s="106">
        <v>1.2384322264552425</v>
      </c>
      <c r="BM22" s="106">
        <v>1.6159529464867552</v>
      </c>
      <c r="BN22" s="106">
        <v>2.727939906116437</v>
      </c>
      <c r="BO22" s="106">
        <v>62.24609583888352</v>
      </c>
      <c r="BP22" s="121">
        <v>0</v>
      </c>
      <c r="BQ22" s="106">
        <v>-1.8284737912352895</v>
      </c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8"/>
      <c r="CF22" s="106">
        <f t="shared" si="61"/>
        <v>49.173294847842826</v>
      </c>
      <c r="CG22" s="106">
        <f t="shared" si="62"/>
        <v>13.289757826695848</v>
      </c>
      <c r="CH22" s="106">
        <f t="shared" si="4"/>
        <v>50.27252901202445</v>
      </c>
      <c r="CI22" s="106">
        <f t="shared" si="5"/>
        <v>0</v>
      </c>
      <c r="CJ22" s="106">
        <f t="shared" si="6"/>
        <v>1534.1790104840172</v>
      </c>
      <c r="CK22" s="106">
        <f t="shared" si="7"/>
        <v>0</v>
      </c>
      <c r="CL22" s="106">
        <f t="shared" si="8"/>
        <v>313.1444850618901</v>
      </c>
      <c r="CM22" s="106">
        <f t="shared" si="9"/>
        <v>1.2384322264552425</v>
      </c>
      <c r="CN22" s="106">
        <f t="shared" si="10"/>
        <v>19.071012485404353</v>
      </c>
      <c r="CO22" s="106">
        <f t="shared" si="11"/>
        <v>23.177757735809525</v>
      </c>
      <c r="CP22" s="106">
        <f t="shared" si="12"/>
        <v>1246.3240888249343</v>
      </c>
      <c r="CQ22" s="121">
        <f t="shared" si="13"/>
        <v>937.2000296341619</v>
      </c>
      <c r="CR22" s="106">
        <f t="shared" si="14"/>
        <v>101.13450295269766</v>
      </c>
      <c r="CS22" s="106"/>
      <c r="CT22" s="106"/>
      <c r="CU22" s="106"/>
      <c r="CV22" s="106"/>
      <c r="CW22" s="108"/>
      <c r="CX22" s="121">
        <f t="shared" si="15"/>
        <v>50.27252901202445</v>
      </c>
      <c r="CY22" s="106">
        <v>1846.0073207964415</v>
      </c>
      <c r="CZ22" s="106">
        <v>0</v>
      </c>
      <c r="DA22" s="106">
        <v>412.51080110685336</v>
      </c>
      <c r="DB22" s="106">
        <v>40.82404322045458</v>
      </c>
      <c r="DC22" s="106">
        <v>28.826633145159708</v>
      </c>
      <c r="DD22" s="106">
        <v>1259.7875382864627</v>
      </c>
      <c r="DE22" s="46">
        <f t="shared" si="16"/>
        <v>950.6634790956903</v>
      </c>
      <c r="DF22" s="106">
        <v>101.84371306537221</v>
      </c>
      <c r="DH22" s="121">
        <v>748.7559386805674</v>
      </c>
      <c r="DI22" s="121">
        <v>478.4138080076915</v>
      </c>
      <c r="DJ22" s="121">
        <v>1227.169746688259</v>
      </c>
      <c r="DK22" s="121">
        <f t="shared" si="44"/>
        <v>1850.0864344789363</v>
      </c>
      <c r="DL22" s="121">
        <f t="shared" si="45"/>
        <v>1488.0321036368214</v>
      </c>
      <c r="DM22" s="121"/>
      <c r="DN22" s="121"/>
      <c r="DO22" s="121"/>
      <c r="DP22" s="121"/>
      <c r="DQ22" s="121">
        <f t="shared" si="46"/>
        <v>3338.1185381157575</v>
      </c>
      <c r="DR22" s="121">
        <f t="shared" si="47"/>
        <v>3.3381185381157574</v>
      </c>
      <c r="DS22" s="121">
        <v>87.4944266686743</v>
      </c>
      <c r="DT22" s="121">
        <v>-8.749442666867429</v>
      </c>
      <c r="DU22" s="121">
        <v>87.4944266686743</v>
      </c>
      <c r="DV22" s="121">
        <v>199.97189987677245</v>
      </c>
      <c r="DW22" s="121">
        <v>3.0282329647608286</v>
      </c>
      <c r="DX22" s="121">
        <v>203.0001328415333</v>
      </c>
      <c r="DY22" s="122">
        <f t="shared" si="17"/>
        <v>171.81867658238312</v>
      </c>
      <c r="DZ22" s="122">
        <f t="shared" si="18"/>
        <v>-14.960126216328373</v>
      </c>
      <c r="EA22" s="121">
        <f t="shared" si="48"/>
        <v>171.81867658238312</v>
      </c>
      <c r="EB22" s="121">
        <v>71.40442343548835</v>
      </c>
      <c r="EC22" s="121">
        <f t="shared" si="49"/>
        <v>-18.446289206179728</v>
      </c>
      <c r="ED22" s="121">
        <v>55.38934479862919</v>
      </c>
      <c r="EE22" s="121">
        <f t="shared" si="50"/>
        <v>-2.0203121622937914</v>
      </c>
      <c r="EF22" s="121">
        <v>126.79376823411755</v>
      </c>
      <c r="EG22" s="121"/>
      <c r="EH22" s="121">
        <v>21.753609472650776</v>
      </c>
      <c r="EI22" s="121">
        <f t="shared" si="51"/>
        <v>-6.841413705919308</v>
      </c>
      <c r="EJ22" s="121">
        <v>19.628604914809195</v>
      </c>
      <c r="EK22" s="121">
        <f t="shared" si="52"/>
        <v>1.3579599393118365</v>
      </c>
      <c r="EL22" s="121">
        <v>41.38221438745997</v>
      </c>
      <c r="EM22" s="121">
        <f>IF(EI22&gt;0,EI22,0)+IF(EK22&gt;0,EK22,0)</f>
        <v>1.3579599393118365</v>
      </c>
      <c r="EO22" s="46">
        <f t="shared" si="19"/>
        <v>995.4663720324158</v>
      </c>
      <c r="EP22" s="46">
        <f t="shared" si="20"/>
        <v>1835.1113157053248</v>
      </c>
      <c r="EQ22" s="121">
        <f aca="true" t="shared" si="63" ref="EQ22:EQ27">DS22</f>
        <v>87.4944266686743</v>
      </c>
      <c r="ER22" s="106">
        <f aca="true" t="shared" si="64" ref="ER22:ER27">AC22</f>
        <v>207.01216484283668</v>
      </c>
      <c r="ES22" s="106">
        <f aca="true" t="shared" si="65" ref="ES22:ES27">U22+V22+W22+X22+Z22+AD22+AE22+AF22+AI22</f>
        <v>228.45187570143037</v>
      </c>
      <c r="ET22" s="106"/>
      <c r="EU22" s="123">
        <v>106.42050067443876</v>
      </c>
      <c r="EV22" s="123">
        <v>2327.6794333901266</v>
      </c>
      <c r="EW22" s="123"/>
      <c r="EX22" s="123"/>
      <c r="EY22" s="124">
        <f t="shared" si="21"/>
        <v>4.394117647058823</v>
      </c>
      <c r="EZ22" s="124">
        <f t="shared" si="53"/>
        <v>7.469999999999999</v>
      </c>
      <c r="FA22" s="124">
        <f t="shared" si="22"/>
        <v>5.787636089015248</v>
      </c>
      <c r="FB22" s="121">
        <f t="shared" si="23"/>
        <v>3.459956655625121</v>
      </c>
      <c r="FC22" s="109">
        <f t="shared" si="24"/>
        <v>1.317132711020873</v>
      </c>
      <c r="FD22" s="109">
        <f t="shared" si="25"/>
        <v>0.787406467812946</v>
      </c>
      <c r="FE22" s="109">
        <f t="shared" si="26"/>
        <v>17.199878442975706</v>
      </c>
      <c r="FF22" s="109">
        <f t="shared" si="27"/>
        <v>31.707441302128665</v>
      </c>
      <c r="FG22" s="109">
        <f t="shared" si="28"/>
        <v>1.5117472025363858</v>
      </c>
      <c r="FH22" s="109">
        <f t="shared" si="29"/>
        <v>3.57679995181002</v>
      </c>
      <c r="FI22" s="109">
        <f t="shared" si="30"/>
        <v>3.94723980892691</v>
      </c>
      <c r="FJ22" s="109">
        <f t="shared" si="31"/>
        <v>1.8387559106631037</v>
      </c>
      <c r="FK22" s="109">
        <f t="shared" si="32"/>
        <v>40.218137380959206</v>
      </c>
      <c r="FL22" s="109">
        <f t="shared" si="33"/>
        <v>28.771064817069565</v>
      </c>
      <c r="FM22" s="109">
        <f t="shared" si="34"/>
        <v>53.03856372656696</v>
      </c>
      <c r="FN22" s="109">
        <f t="shared" si="35"/>
        <v>2.5287723337929044</v>
      </c>
      <c r="FO22" s="109">
        <f t="shared" si="36"/>
        <v>5.98308549635386</v>
      </c>
      <c r="FP22" s="109">
        <f t="shared" si="37"/>
        <v>6.60273808141551</v>
      </c>
      <c r="FQ22" s="123"/>
      <c r="FR22" s="121">
        <f t="shared" si="54"/>
        <v>49.639011616780095</v>
      </c>
      <c r="FS22" s="121">
        <f t="shared" si="55"/>
        <v>25.12228573846634</v>
      </c>
      <c r="FT22" s="106">
        <f t="shared" si="38"/>
        <v>49.34292647187944</v>
      </c>
      <c r="FU22" s="106">
        <f t="shared" si="39"/>
        <v>25.804745028728423</v>
      </c>
      <c r="FV22" s="106">
        <f t="shared" si="56"/>
        <v>0.9940352328691298</v>
      </c>
      <c r="FW22" s="106">
        <f t="shared" si="57"/>
        <v>1.0271654935130814</v>
      </c>
    </row>
    <row r="23" spans="1:179" ht="12.75">
      <c r="A23" s="80">
        <v>890</v>
      </c>
      <c r="B23" s="80">
        <v>640</v>
      </c>
      <c r="C23" s="80">
        <v>1240</v>
      </c>
      <c r="D23" s="79" t="s">
        <v>138</v>
      </c>
      <c r="E23" s="119">
        <v>4</v>
      </c>
      <c r="F23" s="120">
        <v>36496.49513888889</v>
      </c>
      <c r="G23" s="120">
        <v>36497.49652777778</v>
      </c>
      <c r="H23" s="120"/>
      <c r="I23" s="81">
        <v>-38.56333333333333</v>
      </c>
      <c r="J23" s="46">
        <v>13.865</v>
      </c>
      <c r="K23" s="81">
        <v>-44.43333333333333</v>
      </c>
      <c r="L23" s="46">
        <v>12.233333333333333</v>
      </c>
      <c r="M23" s="106">
        <v>1.16734693877551</v>
      </c>
      <c r="N23" s="106">
        <v>0.6613793103448274</v>
      </c>
      <c r="O23" s="106">
        <v>0.018070470230598778</v>
      </c>
      <c r="P23" s="106">
        <v>0.01712240520673598</v>
      </c>
      <c r="Q23" s="106"/>
      <c r="R23" s="153">
        <v>24.08140000010887</v>
      </c>
      <c r="S23" s="106"/>
      <c r="T23" s="106">
        <f t="shared" si="0"/>
        <v>3.6387097379439903</v>
      </c>
      <c r="U23" s="106">
        <v>24.68096441174381</v>
      </c>
      <c r="V23" s="106">
        <v>0.2923414284327128</v>
      </c>
      <c r="W23" s="106">
        <v>57.47771449982509</v>
      </c>
      <c r="X23" s="106">
        <v>0</v>
      </c>
      <c r="Y23" s="106">
        <v>1581.5647536410725</v>
      </c>
      <c r="Z23" s="106">
        <v>2.081200715757393</v>
      </c>
      <c r="AA23" s="106">
        <f t="shared" si="1"/>
        <v>5.992818435532613</v>
      </c>
      <c r="AB23" s="106">
        <f t="shared" si="40"/>
        <v>65.27175421471908</v>
      </c>
      <c r="AC23" s="106">
        <v>36.02894485533596</v>
      </c>
      <c r="AD23" s="106">
        <v>0</v>
      </c>
      <c r="AE23" s="106">
        <v>4.578317664696099</v>
      </c>
      <c r="AF23" s="106">
        <v>5.148877207881762</v>
      </c>
      <c r="AG23" s="106">
        <v>631.9061408441797</v>
      </c>
      <c r="AH23" s="46">
        <f t="shared" si="2"/>
        <v>388.70309134257207</v>
      </c>
      <c r="AI23" s="106">
        <v>9.396044117327136</v>
      </c>
      <c r="AJ23" s="108"/>
      <c r="AL23" s="106">
        <v>72.22585656180989</v>
      </c>
      <c r="AM23" s="106">
        <v>0.8720790656280849</v>
      </c>
      <c r="AN23" s="106">
        <v>3.876747950759914</v>
      </c>
      <c r="AO23" s="106">
        <v>6.305004415550877</v>
      </c>
      <c r="AP23" s="106">
        <v>0.8420514495704611</v>
      </c>
      <c r="AQ23" s="106">
        <v>9.477630904660305</v>
      </c>
      <c r="AR23" s="106">
        <v>0</v>
      </c>
      <c r="AS23" s="108"/>
      <c r="AT23" s="106">
        <f t="shared" si="41"/>
        <v>57.47771449982509</v>
      </c>
      <c r="AU23" s="106">
        <v>1653.7906102028824</v>
      </c>
      <c r="AV23" s="106">
        <v>2.953279781385478</v>
      </c>
      <c r="AW23" s="106">
        <v>39.90569280609587</v>
      </c>
      <c r="AX23" s="106">
        <v>10.883322080246977</v>
      </c>
      <c r="AY23" s="106">
        <v>5.990928657452224</v>
      </c>
      <c r="AZ23" s="106">
        <v>641.38377174884</v>
      </c>
      <c r="BA23" s="106">
        <v>9.396044117327136</v>
      </c>
      <c r="BB23" s="108"/>
      <c r="BC23" s="106">
        <v>8.108135331178449</v>
      </c>
      <c r="BD23" s="106">
        <v>-0.029234142843271284</v>
      </c>
      <c r="BE23" s="106">
        <v>-4.283406585151075</v>
      </c>
      <c r="BF23" s="106">
        <v>0</v>
      </c>
      <c r="BG23" s="106">
        <v>-116.49827071469511</v>
      </c>
      <c r="BH23" s="106">
        <v>-0.2081200715757393</v>
      </c>
      <c r="BI23" s="106">
        <f t="shared" si="42"/>
        <v>-0.4370808091018267</v>
      </c>
      <c r="BJ23" s="106">
        <f t="shared" si="43"/>
        <v>52.38407469698501</v>
      </c>
      <c r="BK23" s="106"/>
      <c r="BL23" s="106">
        <v>0</v>
      </c>
      <c r="BM23" s="106">
        <v>5.37123326460688</v>
      </c>
      <c r="BN23" s="106">
        <v>-0.5148877207881762</v>
      </c>
      <c r="BO23" s="106">
        <v>-15.150553239773807</v>
      </c>
      <c r="BP23" s="121">
        <f>BO23-0.2519*$DI23</f>
        <v>2.5872418887961004</v>
      </c>
      <c r="BQ23" s="106">
        <v>-0.4576279671667936</v>
      </c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8"/>
      <c r="CF23" s="106">
        <f t="shared" si="61"/>
        <v>32.78909974292226</v>
      </c>
      <c r="CG23" s="106">
        <f t="shared" si="62"/>
        <v>0.2631072855894415</v>
      </c>
      <c r="CH23" s="106">
        <f t="shared" si="4"/>
        <v>57.47771449982509</v>
      </c>
      <c r="CI23" s="106">
        <f t="shared" si="5"/>
        <v>0</v>
      </c>
      <c r="CJ23" s="106">
        <f t="shared" si="6"/>
        <v>1465.0664829263774</v>
      </c>
      <c r="CK23" s="106">
        <f t="shared" si="7"/>
        <v>2.081200715757393</v>
      </c>
      <c r="CL23" s="106">
        <f t="shared" si="8"/>
        <v>36.02894485533596</v>
      </c>
      <c r="CM23" s="106">
        <f t="shared" si="9"/>
        <v>0</v>
      </c>
      <c r="CN23" s="106">
        <f t="shared" si="10"/>
        <v>9.94955092930298</v>
      </c>
      <c r="CO23" s="106">
        <f t="shared" si="11"/>
        <v>4.633989487093586</v>
      </c>
      <c r="CP23" s="106">
        <f t="shared" si="12"/>
        <v>631.9061408441797</v>
      </c>
      <c r="CQ23" s="121">
        <f t="shared" si="13"/>
        <v>406.44088647114194</v>
      </c>
      <c r="CR23" s="106">
        <f t="shared" si="14"/>
        <v>8.938416150160343</v>
      </c>
      <c r="CS23" s="106"/>
      <c r="CT23" s="106"/>
      <c r="CU23" s="106"/>
      <c r="CV23" s="106"/>
      <c r="CW23" s="108"/>
      <c r="CX23" s="121">
        <f t="shared" si="15"/>
        <v>57.47771449982509</v>
      </c>
      <c r="CY23" s="106">
        <v>1537.2923394881873</v>
      </c>
      <c r="CZ23" s="106">
        <v>2.7451597098097387</v>
      </c>
      <c r="DA23" s="106">
        <v>36.302798320562275</v>
      </c>
      <c r="DB23" s="106">
        <v>16.254555344853856</v>
      </c>
      <c r="DC23" s="106">
        <v>5.476040936664047</v>
      </c>
      <c r="DD23" s="106">
        <v>626.2332185090662</v>
      </c>
      <c r="DE23" s="46">
        <f t="shared" si="16"/>
        <v>400.7679641360284</v>
      </c>
      <c r="DF23" s="106">
        <v>8.938416150160343</v>
      </c>
      <c r="DH23" s="121">
        <v>965.4745911139646</v>
      </c>
      <c r="DI23" s="121">
        <v>-70.41601877161534</v>
      </c>
      <c r="DJ23" s="121">
        <v>895.0585723423493</v>
      </c>
      <c r="DK23" s="121">
        <f t="shared" si="44"/>
        <v>3000.8124025786</v>
      </c>
      <c r="DL23" s="121">
        <f t="shared" si="45"/>
        <v>-220.00981830896967</v>
      </c>
      <c r="DM23" s="121"/>
      <c r="DN23" s="121"/>
      <c r="DO23" s="121"/>
      <c r="DP23" s="121"/>
      <c r="DQ23" s="121">
        <f t="shared" si="46"/>
        <v>2780.8025842696306</v>
      </c>
      <c r="DR23" s="121">
        <f t="shared" si="47"/>
        <v>2.7808025842696305</v>
      </c>
      <c r="DS23" s="121">
        <v>43.2417413903475</v>
      </c>
      <c r="DT23" s="121">
        <v>6.003122820190032</v>
      </c>
      <c r="DU23" s="121">
        <v>49.24486421053753</v>
      </c>
      <c r="DV23" s="121">
        <v>31.305369707103708</v>
      </c>
      <c r="DW23" s="121">
        <v>-0.023347945948035242</v>
      </c>
      <c r="DX23" s="121">
        <v>31.305369707103708</v>
      </c>
      <c r="DY23" s="122">
        <f t="shared" si="17"/>
        <v>-4.9964749187813595</v>
      </c>
      <c r="DZ23" s="122">
        <f t="shared" si="18"/>
        <v>2.6242943598647015</v>
      </c>
      <c r="EA23" s="121">
        <f t="shared" si="48"/>
        <v>2.6242943598647015</v>
      </c>
      <c r="EB23" s="121">
        <v>113.3014279182111</v>
      </c>
      <c r="EC23" s="121">
        <f t="shared" si="49"/>
        <v>-2.5555230154646438</v>
      </c>
      <c r="ED23" s="121">
        <v>-9.07135515744337</v>
      </c>
      <c r="EE23" s="121">
        <f t="shared" si="50"/>
        <v>-0.6214329048495308</v>
      </c>
      <c r="EF23" s="121">
        <v>113.3014279182111</v>
      </c>
      <c r="EG23" s="121"/>
      <c r="EH23" s="121">
        <v>31.476063974601228</v>
      </c>
      <c r="EI23" s="121">
        <f t="shared" si="51"/>
        <v>-5.3954543466741605</v>
      </c>
      <c r="EJ23" s="121">
        <v>-3.147606397460123</v>
      </c>
      <c r="EK23" s="121">
        <f t="shared" si="52"/>
        <v>-0.4584154543269401</v>
      </c>
      <c r="EL23" s="121">
        <v>31.476063974601228</v>
      </c>
      <c r="EM23" s="121"/>
      <c r="EO23" s="46">
        <f t="shared" si="19"/>
        <v>388.70309134257207</v>
      </c>
      <c r="EP23" s="46">
        <f t="shared" si="20"/>
        <v>2981.5029107563214</v>
      </c>
      <c r="EQ23" s="121">
        <f t="shared" si="63"/>
        <v>43.2417413903475</v>
      </c>
      <c r="ER23" s="106">
        <f t="shared" si="64"/>
        <v>36.02894485533596</v>
      </c>
      <c r="ES23" s="106">
        <f t="shared" si="65"/>
        <v>103.655460045664</v>
      </c>
      <c r="ET23" s="106"/>
      <c r="EU23" s="123">
        <v>0</v>
      </c>
      <c r="EV23" s="123">
        <v>854.2244188480961</v>
      </c>
      <c r="EW23" s="123"/>
      <c r="EX23" s="123"/>
      <c r="EY23" s="124">
        <f t="shared" si="21"/>
        <v>1.16734693877551</v>
      </c>
      <c r="EZ23" s="124">
        <f t="shared" si="53"/>
        <v>1.984489795918367</v>
      </c>
      <c r="FA23" s="124">
        <f t="shared" si="22"/>
        <v>4.407356567238336</v>
      </c>
      <c r="FB23" s="121">
        <f t="shared" si="23"/>
        <v>3.5531321483902407</v>
      </c>
      <c r="FC23" s="109">
        <f t="shared" si="24"/>
        <v>3.775532723683191</v>
      </c>
      <c r="FD23" s="109">
        <f t="shared" si="25"/>
        <v>3.0437670501944374</v>
      </c>
      <c r="FE23" s="109">
        <f t="shared" si="26"/>
        <v>8.819415570593025</v>
      </c>
      <c r="FF23" s="109">
        <f t="shared" si="27"/>
        <v>67.64832536852222</v>
      </c>
      <c r="FG23" s="109">
        <f t="shared" si="28"/>
        <v>0.981126458244401</v>
      </c>
      <c r="FH23" s="109">
        <f t="shared" si="29"/>
        <v>0.8174728843850229</v>
      </c>
      <c r="FI23" s="109">
        <f t="shared" si="30"/>
        <v>2.351873701714469</v>
      </c>
      <c r="FJ23" s="109">
        <f t="shared" si="31"/>
        <v>0</v>
      </c>
      <c r="FK23" s="109">
        <f t="shared" si="32"/>
        <v>19.381786016540882</v>
      </c>
      <c r="FL23" s="109">
        <f t="shared" si="33"/>
        <v>10.939730781436749</v>
      </c>
      <c r="FM23" s="109">
        <f t="shared" si="34"/>
        <v>83.91196235431609</v>
      </c>
      <c r="FN23" s="109">
        <f t="shared" si="35"/>
        <v>1.2170034657995574</v>
      </c>
      <c r="FO23" s="109">
        <f t="shared" si="36"/>
        <v>1.0140052030335827</v>
      </c>
      <c r="FP23" s="109">
        <f t="shared" si="37"/>
        <v>2.9172981954140234</v>
      </c>
      <c r="FQ23" s="123"/>
      <c r="FR23" s="121">
        <f t="shared" si="54"/>
        <v>58.901971675940466</v>
      </c>
      <c r="FS23" s="121">
        <f t="shared" si="55"/>
        <v>-3.6423664447815933</v>
      </c>
      <c r="FT23" s="106">
        <f t="shared" si="38"/>
        <v>55.820094321068765</v>
      </c>
      <c r="FU23" s="106">
        <f t="shared" si="39"/>
        <v>-3.6117466079537976</v>
      </c>
      <c r="FV23" s="106">
        <f t="shared" si="56"/>
        <v>0.9476778575116773</v>
      </c>
      <c r="FW23" s="106">
        <f t="shared" si="57"/>
        <v>0.9915934222182218</v>
      </c>
    </row>
    <row r="24" spans="1:179" ht="12.75">
      <c r="A24" s="80">
        <v>1532</v>
      </c>
      <c r="B24" s="80">
        <v>1240</v>
      </c>
      <c r="C24" s="80">
        <v>1860</v>
      </c>
      <c r="D24" s="79" t="s">
        <v>139</v>
      </c>
      <c r="E24" s="119">
        <v>4</v>
      </c>
      <c r="F24" s="120">
        <v>36497.5</v>
      </c>
      <c r="G24" s="120">
        <v>36498.524305555555</v>
      </c>
      <c r="H24" s="120"/>
      <c r="I24" s="81">
        <v>-44.43333333333333</v>
      </c>
      <c r="J24" s="46">
        <v>12.233333333333333</v>
      </c>
      <c r="K24" s="81">
        <v>-50.11666666666667</v>
      </c>
      <c r="L24" s="46">
        <v>10.966666666666667</v>
      </c>
      <c r="M24" s="106">
        <v>2.2402</v>
      </c>
      <c r="N24" s="106">
        <v>1.610769230769231</v>
      </c>
      <c r="O24" s="106">
        <v>0.05399260523176925</v>
      </c>
      <c r="P24" s="106">
        <v>0.029579972956039726</v>
      </c>
      <c r="Q24" s="106"/>
      <c r="R24" s="153">
        <v>24.63249999998056</v>
      </c>
      <c r="S24" s="106"/>
      <c r="T24" s="106">
        <f t="shared" si="0"/>
        <v>5.336303555280081</v>
      </c>
      <c r="U24" s="106">
        <v>7.226990482267795</v>
      </c>
      <c r="V24" s="106">
        <v>4.667710382051891</v>
      </c>
      <c r="W24" s="106">
        <v>103.15202829450322</v>
      </c>
      <c r="X24" s="106">
        <v>0</v>
      </c>
      <c r="Y24" s="106">
        <v>2565.6449107434296</v>
      </c>
      <c r="Z24" s="106">
        <v>2.9959492247167776</v>
      </c>
      <c r="AA24" s="106">
        <f t="shared" si="1"/>
        <v>9.034810622263763</v>
      </c>
      <c r="AB24" s="106">
        <f t="shared" si="40"/>
        <v>66.83993334255287</v>
      </c>
      <c r="AC24" s="106">
        <v>22.046627396473703</v>
      </c>
      <c r="AD24" s="106">
        <v>0</v>
      </c>
      <c r="AE24" s="106">
        <v>0</v>
      </c>
      <c r="AF24" s="106">
        <v>2.445247948173383</v>
      </c>
      <c r="AG24" s="106">
        <v>728.5123891375301</v>
      </c>
      <c r="AH24" s="46">
        <f t="shared" si="2"/>
        <v>361.8579478856687</v>
      </c>
      <c r="AI24" s="106">
        <v>7.2863709113907635</v>
      </c>
      <c r="AJ24" s="108"/>
      <c r="AL24" s="106">
        <v>69.41113305028827</v>
      </c>
      <c r="AM24" s="106">
        <v>0.7518612553430158</v>
      </c>
      <c r="AN24" s="106">
        <v>6.500955070278895</v>
      </c>
      <c r="AO24" s="106">
        <v>3.168803635669021</v>
      </c>
      <c r="AP24" s="106">
        <v>1.2833090880396247</v>
      </c>
      <c r="AQ24" s="106">
        <v>35.71076186439738</v>
      </c>
      <c r="AR24" s="106">
        <v>0</v>
      </c>
      <c r="AS24" s="108"/>
      <c r="AT24" s="106">
        <f t="shared" si="41"/>
        <v>103.15202829450322</v>
      </c>
      <c r="AU24" s="106">
        <v>2635.056043793718</v>
      </c>
      <c r="AV24" s="106">
        <v>3.7478104800597936</v>
      </c>
      <c r="AW24" s="106">
        <v>28.547582466752598</v>
      </c>
      <c r="AX24" s="106">
        <v>3.168803635669021</v>
      </c>
      <c r="AY24" s="106">
        <v>3.728557036213008</v>
      </c>
      <c r="AZ24" s="106">
        <v>764.2231510019275</v>
      </c>
      <c r="BA24" s="106">
        <v>7.2863709113907635</v>
      </c>
      <c r="BB24" s="108"/>
      <c r="BC24" s="106">
        <v>60.71892810695776</v>
      </c>
      <c r="BD24" s="106">
        <v>3.4222230686576074</v>
      </c>
      <c r="BE24" s="106">
        <v>0.6718680572369689</v>
      </c>
      <c r="BF24" s="106">
        <v>0</v>
      </c>
      <c r="BG24" s="106">
        <v>2013.4311489539941</v>
      </c>
      <c r="BH24" s="106">
        <v>3.108181599402523</v>
      </c>
      <c r="BI24" s="106">
        <f t="shared" si="42"/>
        <v>6.686644605607283</v>
      </c>
      <c r="BJ24" s="106">
        <f t="shared" si="43"/>
        <v>53.51657247050238</v>
      </c>
      <c r="BK24" s="106">
        <v>1.0762644288882113</v>
      </c>
      <c r="BL24" s="106">
        <v>0</v>
      </c>
      <c r="BM24" s="106">
        <v>0</v>
      </c>
      <c r="BN24" s="106">
        <v>-0.24452479481733833</v>
      </c>
      <c r="BO24" s="106">
        <v>272.88009282403914</v>
      </c>
      <c r="BP24" s="121">
        <f>BO24-0.2519*$DI24</f>
        <v>1.5199012028431298</v>
      </c>
      <c r="BQ24" s="106">
        <v>0.06822607550002713</v>
      </c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8"/>
      <c r="CF24" s="106">
        <f t="shared" si="61"/>
        <v>67.94591858922556</v>
      </c>
      <c r="CG24" s="106">
        <f t="shared" si="62"/>
        <v>8.089933450709498</v>
      </c>
      <c r="CH24" s="106">
        <f t="shared" si="4"/>
        <v>103.82389635174019</v>
      </c>
      <c r="CI24" s="106">
        <f t="shared" si="5"/>
        <v>0</v>
      </c>
      <c r="CJ24" s="106">
        <f t="shared" si="6"/>
        <v>4579.076059697423</v>
      </c>
      <c r="CK24" s="106">
        <f t="shared" si="7"/>
        <v>6.1041308241193</v>
      </c>
      <c r="CL24" s="106">
        <f t="shared" si="8"/>
        <v>23.122891825361915</v>
      </c>
      <c r="CM24" s="106">
        <f t="shared" si="9"/>
        <v>0</v>
      </c>
      <c r="CN24" s="106">
        <f t="shared" si="10"/>
        <v>0</v>
      </c>
      <c r="CO24" s="106">
        <f t="shared" si="11"/>
        <v>2.2007231533560447</v>
      </c>
      <c r="CP24" s="106">
        <f t="shared" si="12"/>
        <v>1001.3924819615693</v>
      </c>
      <c r="CQ24" s="121">
        <f t="shared" si="13"/>
        <v>363.37784908851177</v>
      </c>
      <c r="CR24" s="106">
        <f t="shared" si="14"/>
        <v>7.35459698689079</v>
      </c>
      <c r="CS24" s="106"/>
      <c r="CT24" s="106"/>
      <c r="CU24" s="106"/>
      <c r="CV24" s="106"/>
      <c r="CW24" s="108"/>
      <c r="CX24" s="121">
        <f t="shared" si="15"/>
        <v>103.82389635174019</v>
      </c>
      <c r="CY24" s="106">
        <v>4648.4871927477125</v>
      </c>
      <c r="CZ24" s="106">
        <v>6.855992079462316</v>
      </c>
      <c r="DA24" s="106">
        <v>29.62384689564081</v>
      </c>
      <c r="DB24" s="106">
        <v>3.168803635669021</v>
      </c>
      <c r="DC24" s="106">
        <v>3.4840322413956697</v>
      </c>
      <c r="DD24" s="106">
        <v>1037.1032438259667</v>
      </c>
      <c r="DE24" s="46">
        <f t="shared" si="16"/>
        <v>399.0886109529092</v>
      </c>
      <c r="DF24" s="106">
        <v>7.35459698689079</v>
      </c>
      <c r="DH24" s="121">
        <v>1455.555542881546</v>
      </c>
      <c r="DI24" s="121">
        <v>1077.2536388296785</v>
      </c>
      <c r="DJ24" s="121">
        <v>2532.8091817112245</v>
      </c>
      <c r="DK24" s="121">
        <f t="shared" si="44"/>
        <v>4705.311558779302</v>
      </c>
      <c r="DL24" s="121">
        <f t="shared" si="45"/>
        <v>3596.993998033621</v>
      </c>
      <c r="DM24" s="121"/>
      <c r="DN24" s="121"/>
      <c r="DO24" s="121"/>
      <c r="DP24" s="121"/>
      <c r="DQ24" s="121">
        <f t="shared" si="46"/>
        <v>8302.305556812924</v>
      </c>
      <c r="DR24" s="121">
        <f t="shared" si="47"/>
        <v>8.302305556812923</v>
      </c>
      <c r="DS24" s="121">
        <v>55.5905922124552</v>
      </c>
      <c r="DT24" s="121">
        <v>-5.55905922124552</v>
      </c>
      <c r="DU24" s="121">
        <v>55.5905922124552</v>
      </c>
      <c r="DV24" s="121">
        <v>42.576676210606806</v>
      </c>
      <c r="DW24" s="121">
        <v>32.01845861590086</v>
      </c>
      <c r="DX24" s="121">
        <v>74.59513482650766</v>
      </c>
      <c r="DY24" s="122">
        <f t="shared" si="17"/>
        <v>-12.152212201739324</v>
      </c>
      <c r="DZ24" s="122">
        <f t="shared" si="18"/>
        <v>-8.48627820409505</v>
      </c>
      <c r="EA24" s="121"/>
      <c r="EB24" s="121">
        <v>158.79288433648085</v>
      </c>
      <c r="EC24" s="121">
        <f t="shared" si="49"/>
        <v>-15.873780809304662</v>
      </c>
      <c r="ED24" s="121">
        <v>122.36177426914041</v>
      </c>
      <c r="EE24" s="121">
        <f t="shared" si="50"/>
        <v>-6.908662390421014</v>
      </c>
      <c r="EF24" s="121">
        <v>281.15465860562125</v>
      </c>
      <c r="EG24" s="121"/>
      <c r="EH24" s="121">
        <v>39.287620146235774</v>
      </c>
      <c r="EI24" s="121">
        <f t="shared" si="51"/>
        <v>-16.300111898652226</v>
      </c>
      <c r="EJ24" s="121">
        <v>28.70897130626892</v>
      </c>
      <c r="EK24" s="121">
        <f t="shared" si="52"/>
        <v>-12.431393905145043</v>
      </c>
      <c r="EL24" s="121">
        <v>67.9965914525047</v>
      </c>
      <c r="EM24" s="121"/>
      <c r="EO24" s="46">
        <f t="shared" si="19"/>
        <v>361.8579478856687</v>
      </c>
      <c r="EP24" s="46">
        <f t="shared" si="20"/>
        <v>4676.200447921671</v>
      </c>
      <c r="EQ24" s="121">
        <f t="shared" si="63"/>
        <v>55.5905922124552</v>
      </c>
      <c r="ER24" s="106">
        <f t="shared" si="64"/>
        <v>22.046627396473703</v>
      </c>
      <c r="ES24" s="106">
        <f t="shared" si="65"/>
        <v>127.77429724310385</v>
      </c>
      <c r="ET24" s="106"/>
      <c r="EU24" s="123">
        <v>13.729604316857424</v>
      </c>
      <c r="EV24" s="123">
        <v>685.7211161336804</v>
      </c>
      <c r="EW24" s="123"/>
      <c r="EX24" s="123"/>
      <c r="EY24" s="124">
        <f t="shared" si="21"/>
        <v>2.2402</v>
      </c>
      <c r="EZ24" s="124">
        <f t="shared" si="53"/>
        <v>3.8083400000000003</v>
      </c>
      <c r="FA24" s="124">
        <f t="shared" si="22"/>
        <v>5.94292063310991</v>
      </c>
      <c r="FB24" s="121">
        <f t="shared" si="23"/>
        <v>5.257199516976231</v>
      </c>
      <c r="FC24" s="109">
        <f t="shared" si="24"/>
        <v>2.652852706503843</v>
      </c>
      <c r="FD24" s="109">
        <f t="shared" si="25"/>
        <v>2.3467545384234576</v>
      </c>
      <c r="FE24" s="109">
        <f t="shared" si="26"/>
        <v>6.088890803448433</v>
      </c>
      <c r="FF24" s="109">
        <f t="shared" si="27"/>
        <v>78.68522459931677</v>
      </c>
      <c r="FG24" s="109">
        <f t="shared" si="28"/>
        <v>0.9354086255626947</v>
      </c>
      <c r="FH24" s="109">
        <f t="shared" si="29"/>
        <v>0.3709729400329679</v>
      </c>
      <c r="FI24" s="109">
        <f t="shared" si="30"/>
        <v>2.15002530121692</v>
      </c>
      <c r="FJ24" s="109">
        <f t="shared" si="31"/>
        <v>0.23102452757597688</v>
      </c>
      <c r="FK24" s="109">
        <f t="shared" si="32"/>
        <v>11.53845320284624</v>
      </c>
      <c r="FL24" s="109">
        <f t="shared" si="33"/>
        <v>6.883093303139417</v>
      </c>
      <c r="FM24" s="109">
        <f t="shared" si="34"/>
        <v>88.94850638294338</v>
      </c>
      <c r="FN24" s="109">
        <f t="shared" si="35"/>
        <v>1.0574183466491127</v>
      </c>
      <c r="FO24" s="109">
        <f t="shared" si="36"/>
        <v>0.4193606753040677</v>
      </c>
      <c r="FP24" s="109">
        <f t="shared" si="37"/>
        <v>2.430463154964974</v>
      </c>
      <c r="FQ24" s="123"/>
      <c r="FR24" s="121">
        <f t="shared" si="54"/>
        <v>88.8904306555526</v>
      </c>
      <c r="FS24" s="121">
        <f t="shared" si="55"/>
        <v>62.42580372593549</v>
      </c>
      <c r="FT24" s="106">
        <f t="shared" si="38"/>
        <v>82.13291123822684</v>
      </c>
      <c r="FU24" s="106">
        <f t="shared" si="39"/>
        <v>58.57365473352373</v>
      </c>
      <c r="FV24" s="106">
        <f t="shared" si="56"/>
        <v>0.9239792251259202</v>
      </c>
      <c r="FW24" s="106">
        <f t="shared" si="57"/>
        <v>0.9382923604904851</v>
      </c>
    </row>
    <row r="25" spans="4:179" ht="12.75">
      <c r="D25" s="79" t="s">
        <v>140</v>
      </c>
      <c r="E25" s="119">
        <v>4</v>
      </c>
      <c r="F25" s="120">
        <v>36498.57638888889</v>
      </c>
      <c r="G25" s="120">
        <v>36499.506944444445</v>
      </c>
      <c r="H25" s="120"/>
      <c r="I25" s="81">
        <v>-50.11666666666667</v>
      </c>
      <c r="J25" s="46">
        <v>10.966666666666667</v>
      </c>
      <c r="K25" s="81">
        <v>-52.86666666666667</v>
      </c>
      <c r="L25" s="46">
        <v>7.016666666666667</v>
      </c>
      <c r="M25" s="106">
        <v>1.7942222222222222</v>
      </c>
      <c r="N25" s="106">
        <v>1.8265625</v>
      </c>
      <c r="O25" s="106">
        <v>0.03309172141396923</v>
      </c>
      <c r="P25" s="106">
        <v>0.0347749566455991</v>
      </c>
      <c r="Q25" s="106"/>
      <c r="R25" s="153">
        <v>22.37799999998056</v>
      </c>
      <c r="S25" s="106"/>
      <c r="T25" s="106">
        <f t="shared" si="0"/>
        <v>3.370532513892533</v>
      </c>
      <c r="U25" s="106">
        <v>4.640435818610047</v>
      </c>
      <c r="V25" s="106">
        <v>6.196569666007818</v>
      </c>
      <c r="W25" s="106">
        <v>77.1331484341</v>
      </c>
      <c r="X25" s="106">
        <v>0</v>
      </c>
      <c r="Y25" s="106">
        <v>1550.7435327618903</v>
      </c>
      <c r="Z25" s="106">
        <v>0</v>
      </c>
      <c r="AA25" s="106">
        <f t="shared" si="1"/>
        <v>5.719320474715791</v>
      </c>
      <c r="AB25" s="106">
        <f t="shared" si="40"/>
        <v>99.99999999999999</v>
      </c>
      <c r="AC25" s="106">
        <v>11.606384094452489</v>
      </c>
      <c r="AD25" s="106">
        <v>0</v>
      </c>
      <c r="AE25" s="106">
        <v>0</v>
      </c>
      <c r="AF25" s="106">
        <v>0</v>
      </c>
      <c r="AG25" s="106">
        <v>465.90957809791354</v>
      </c>
      <c r="AH25" s="46">
        <f t="shared" si="2"/>
        <v>233.8057365597473</v>
      </c>
      <c r="AI25" s="106">
        <v>2.6014307684267153</v>
      </c>
      <c r="AJ25" s="108"/>
      <c r="AL25" s="106">
        <v>65.90574131289868</v>
      </c>
      <c r="AM25" s="106">
        <v>0.7234979851249074</v>
      </c>
      <c r="AN25" s="106">
        <v>3.34750160433984</v>
      </c>
      <c r="AO25" s="106">
        <v>1.8892563132457996</v>
      </c>
      <c r="AP25" s="106">
        <v>1.0650341108836374</v>
      </c>
      <c r="AQ25" s="106">
        <v>21.312124722298663</v>
      </c>
      <c r="AR25" s="106">
        <v>0</v>
      </c>
      <c r="AS25" s="108"/>
      <c r="AT25" s="106">
        <f t="shared" si="41"/>
        <v>77.1331484341</v>
      </c>
      <c r="AU25" s="106">
        <v>1616.649274074789</v>
      </c>
      <c r="AV25" s="106">
        <v>0.7234979851249074</v>
      </c>
      <c r="AW25" s="106">
        <v>14.953885698792329</v>
      </c>
      <c r="AX25" s="106">
        <v>1.8892563132457996</v>
      </c>
      <c r="AY25" s="106">
        <v>1.0650341108836374</v>
      </c>
      <c r="AZ25" s="106">
        <v>487.2217028202122</v>
      </c>
      <c r="BA25" s="106">
        <v>2.6014307684267153</v>
      </c>
      <c r="BB25" s="108"/>
      <c r="BC25" s="106">
        <v>34.345433216761116</v>
      </c>
      <c r="BD25" s="106">
        <v>5.116544927551232</v>
      </c>
      <c r="BE25" s="106">
        <v>-1.910996662999601</v>
      </c>
      <c r="BF25" s="106">
        <v>0</v>
      </c>
      <c r="BG25" s="106">
        <v>1078.4910836541833</v>
      </c>
      <c r="BH25" s="106">
        <v>2.1344136104674902</v>
      </c>
      <c r="BI25" s="106">
        <f t="shared" si="42"/>
        <v>3.7139714395490575</v>
      </c>
      <c r="BJ25" s="106">
        <f t="shared" si="43"/>
        <v>42.530155516579676</v>
      </c>
      <c r="BK25" s="106"/>
      <c r="BL25" s="106">
        <v>0</v>
      </c>
      <c r="BM25" s="106">
        <v>0</v>
      </c>
      <c r="BN25" s="106">
        <v>0</v>
      </c>
      <c r="BO25" s="106">
        <v>144.71637746271577</v>
      </c>
      <c r="BP25" s="121">
        <v>0</v>
      </c>
      <c r="BQ25" s="106">
        <v>-0.2601430768426715</v>
      </c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8"/>
      <c r="CF25" s="106">
        <f t="shared" si="61"/>
        <v>38.98586903537117</v>
      </c>
      <c r="CG25" s="106">
        <f t="shared" si="62"/>
        <v>11.31311459355905</v>
      </c>
      <c r="CH25" s="106">
        <f t="shared" si="4"/>
        <v>77.1331484341</v>
      </c>
      <c r="CI25" s="106">
        <f t="shared" si="5"/>
        <v>0</v>
      </c>
      <c r="CJ25" s="106">
        <f t="shared" si="6"/>
        <v>2629.2346164160735</v>
      </c>
      <c r="CK25" s="106">
        <f t="shared" si="7"/>
        <v>2.1344136104674902</v>
      </c>
      <c r="CL25" s="106">
        <f t="shared" si="8"/>
        <v>11.606384094452489</v>
      </c>
      <c r="CM25" s="106">
        <f t="shared" si="9"/>
        <v>0</v>
      </c>
      <c r="CN25" s="106">
        <f t="shared" si="10"/>
        <v>0</v>
      </c>
      <c r="CO25" s="106">
        <f t="shared" si="11"/>
        <v>0</v>
      </c>
      <c r="CP25" s="106">
        <f t="shared" si="12"/>
        <v>610.6259555606293</v>
      </c>
      <c r="CQ25" s="121">
        <f t="shared" si="13"/>
        <v>227.80018083245312</v>
      </c>
      <c r="CR25" s="106">
        <f t="shared" si="14"/>
        <v>2.3412876915840437</v>
      </c>
      <c r="CS25" s="106"/>
      <c r="CT25" s="106"/>
      <c r="CU25" s="106"/>
      <c r="CV25" s="106"/>
      <c r="CW25" s="108"/>
      <c r="CX25" s="121">
        <f t="shared" si="15"/>
        <v>77.1331484341</v>
      </c>
      <c r="CY25" s="106">
        <v>2695.140357728972</v>
      </c>
      <c r="CZ25" s="106">
        <v>2.8579115955923977</v>
      </c>
      <c r="DA25" s="106">
        <v>13.793247289347079</v>
      </c>
      <c r="DB25" s="106">
        <v>1.8892563132457996</v>
      </c>
      <c r="DC25" s="106">
        <v>1.0650341108836374</v>
      </c>
      <c r="DD25" s="106">
        <v>631.938080282928</v>
      </c>
      <c r="DE25" s="46">
        <f t="shared" si="16"/>
        <v>249.1123055547518</v>
      </c>
      <c r="DF25" s="106">
        <v>2.3412876915840437</v>
      </c>
      <c r="DH25" s="121">
        <v>921.4126301634229</v>
      </c>
      <c r="DI25" s="121">
        <v>598.3403461294561</v>
      </c>
      <c r="DJ25" s="121">
        <v>1519.7529762928789</v>
      </c>
      <c r="DK25" s="121">
        <f t="shared" si="44"/>
        <v>2905.220099102122</v>
      </c>
      <c r="DL25" s="121">
        <f t="shared" si="45"/>
        <v>1958.0513924644838</v>
      </c>
      <c r="DM25" s="121"/>
      <c r="DN25" s="121"/>
      <c r="DO25" s="121"/>
      <c r="DP25" s="121"/>
      <c r="DQ25" s="121">
        <f t="shared" si="46"/>
        <v>4863.271491566606</v>
      </c>
      <c r="DR25" s="121">
        <f t="shared" si="47"/>
        <v>4.863271491566605</v>
      </c>
      <c r="DS25" s="121">
        <v>31.063586593258435</v>
      </c>
      <c r="DT25" s="121">
        <v>-3.106358659325844</v>
      </c>
      <c r="DU25" s="121">
        <v>31.063586593258435</v>
      </c>
      <c r="DV25" s="121">
        <v>27.190917275236878</v>
      </c>
      <c r="DW25" s="121">
        <v>18.802512395126612</v>
      </c>
      <c r="DX25" s="121">
        <v>45.99342967036349</v>
      </c>
      <c r="DY25" s="122">
        <f t="shared" si="17"/>
        <v>-7.454197618907827</v>
      </c>
      <c r="DZ25" s="122">
        <f t="shared" si="18"/>
        <v>-3.6950846193409355</v>
      </c>
      <c r="EA25" s="121"/>
      <c r="EB25" s="121">
        <v>99.34291720789706</v>
      </c>
      <c r="EC25" s="121">
        <f t="shared" si="49"/>
        <v>-11.226598411713695</v>
      </c>
      <c r="ED25" s="121">
        <v>66.04130790496893</v>
      </c>
      <c r="EE25" s="121">
        <f t="shared" si="50"/>
        <v>-5.759533630565798</v>
      </c>
      <c r="EF25" s="121">
        <v>165.38422511286598</v>
      </c>
      <c r="EG25" s="121"/>
      <c r="EH25" s="121">
        <v>22.151013258390563</v>
      </c>
      <c r="EI25" s="121">
        <f t="shared" si="51"/>
        <v>-13.037776780429752</v>
      </c>
      <c r="EJ25" s="121">
        <v>14.356564188352214</v>
      </c>
      <c r="EK25" s="121">
        <f t="shared" si="52"/>
        <v>-8.49408070455552</v>
      </c>
      <c r="EL25" s="121">
        <v>36.50757744674278</v>
      </c>
      <c r="EM25" s="121"/>
      <c r="EO25" s="46">
        <f t="shared" si="19"/>
        <v>233.8057365597473</v>
      </c>
      <c r="EP25" s="46">
        <f t="shared" si="20"/>
        <v>2886.7918464988534</v>
      </c>
      <c r="EQ25" s="121">
        <f t="shared" si="63"/>
        <v>31.063586593258435</v>
      </c>
      <c r="ER25" s="106">
        <f t="shared" si="64"/>
        <v>11.606384094452489</v>
      </c>
      <c r="ES25" s="106">
        <f t="shared" si="65"/>
        <v>90.57158468714456</v>
      </c>
      <c r="ET25" s="106"/>
      <c r="EU25" s="123">
        <v>0</v>
      </c>
      <c r="EV25" s="123">
        <v>450.02900359642024</v>
      </c>
      <c r="EW25" s="123"/>
      <c r="EX25" s="123"/>
      <c r="EY25" s="124">
        <f t="shared" si="21"/>
        <v>1.7942222222222222</v>
      </c>
      <c r="EZ25" s="124">
        <f t="shared" si="53"/>
        <v>3.0501777777777774</v>
      </c>
      <c r="FA25" s="124">
        <f t="shared" si="22"/>
        <v>3.7038681420298767</v>
      </c>
      <c r="FB25" s="121">
        <f t="shared" si="23"/>
        <v>3.2538391384334564</v>
      </c>
      <c r="FC25" s="109">
        <f t="shared" si="24"/>
        <v>2.0643307702668374</v>
      </c>
      <c r="FD25" s="109">
        <f t="shared" si="25"/>
        <v>1.8135095520127018</v>
      </c>
      <c r="FE25" s="109">
        <f t="shared" si="26"/>
        <v>6.312474623667673</v>
      </c>
      <c r="FF25" s="109">
        <f t="shared" si="27"/>
        <v>77.93991945179692</v>
      </c>
      <c r="FG25" s="109">
        <f t="shared" si="28"/>
        <v>0.8386796020290904</v>
      </c>
      <c r="FH25" s="109">
        <f t="shared" si="29"/>
        <v>0.31335845795233136</v>
      </c>
      <c r="FI25" s="109">
        <f t="shared" si="30"/>
        <v>2.4453242181971278</v>
      </c>
      <c r="FJ25" s="109">
        <f t="shared" si="31"/>
        <v>0</v>
      </c>
      <c r="FK25" s="109">
        <f t="shared" si="32"/>
        <v>12.15024364635684</v>
      </c>
      <c r="FL25" s="109">
        <f t="shared" si="33"/>
        <v>7.185534582767107</v>
      </c>
      <c r="FM25" s="109">
        <f t="shared" si="34"/>
        <v>88.71956245165468</v>
      </c>
      <c r="FN25" s="109">
        <f t="shared" si="35"/>
        <v>0.9546749323389673</v>
      </c>
      <c r="FO25" s="109">
        <f t="shared" si="36"/>
        <v>0.3566981525718669</v>
      </c>
      <c r="FP25" s="109">
        <f t="shared" si="37"/>
        <v>2.783529880667358</v>
      </c>
      <c r="FQ25" s="123"/>
      <c r="FR25" s="121">
        <f t="shared" si="54"/>
        <v>54.388493581247026</v>
      </c>
      <c r="FS25" s="121">
        <f t="shared" si="55"/>
        <v>33.374839301595834</v>
      </c>
      <c r="FT25" s="106">
        <f t="shared" si="38"/>
        <v>51.53936056010275</v>
      </c>
      <c r="FU25" s="106">
        <f t="shared" si="39"/>
        <v>32.32547072098305</v>
      </c>
      <c r="FV25" s="106">
        <f t="shared" si="56"/>
        <v>0.9476151510449878</v>
      </c>
      <c r="FW25" s="106">
        <f t="shared" si="57"/>
        <v>0.9685580933849587</v>
      </c>
    </row>
    <row r="26" spans="4:179" ht="12.75">
      <c r="D26" s="79" t="s">
        <v>141</v>
      </c>
      <c r="E26" s="119">
        <v>4</v>
      </c>
      <c r="F26" s="120">
        <v>36499.510416666664</v>
      </c>
      <c r="G26" s="120">
        <v>36500.50902777778</v>
      </c>
      <c r="H26" s="120"/>
      <c r="I26" s="81">
        <v>-52.86666666666667</v>
      </c>
      <c r="J26" s="46">
        <v>7.016666666666667</v>
      </c>
      <c r="K26" s="81">
        <v>-57.516666666666666</v>
      </c>
      <c r="L26" s="46">
        <v>4.366666666666666</v>
      </c>
      <c r="M26" s="106">
        <v>0.9222857142857143</v>
      </c>
      <c r="N26" s="106">
        <v>0.9374358974358975</v>
      </c>
      <c r="O26" s="106">
        <v>0.0472797442959969</v>
      </c>
      <c r="P26" s="106">
        <v>0.02669823174400077</v>
      </c>
      <c r="Q26" s="106"/>
      <c r="R26" s="153">
        <v>24.0146000000661</v>
      </c>
      <c r="S26" s="106"/>
      <c r="T26" s="106">
        <f t="shared" si="0"/>
        <v>2.7237260154211334</v>
      </c>
      <c r="U26" s="106">
        <v>4.883947667881592</v>
      </c>
      <c r="V26" s="106">
        <v>3.3625845232123694</v>
      </c>
      <c r="W26" s="106">
        <v>67.28017242344742</v>
      </c>
      <c r="X26" s="106">
        <v>0</v>
      </c>
      <c r="Y26" s="106">
        <v>1199.8631305854915</v>
      </c>
      <c r="Z26" s="106">
        <v>0</v>
      </c>
      <c r="AA26" s="106">
        <f t="shared" si="1"/>
        <v>4.477012618254864</v>
      </c>
      <c r="AB26" s="106">
        <f t="shared" si="40"/>
        <v>100</v>
      </c>
      <c r="AC26" s="106">
        <v>18.10264019655691</v>
      </c>
      <c r="AD26" s="106">
        <v>0</v>
      </c>
      <c r="AE26" s="106">
        <v>0</v>
      </c>
      <c r="AF26" s="106">
        <v>0</v>
      </c>
      <c r="AG26" s="106">
        <v>407.14593910002077</v>
      </c>
      <c r="AH26" s="46">
        <f t="shared" si="2"/>
        <v>225.45795153128162</v>
      </c>
      <c r="AI26" s="106">
        <v>3.3681527099728146</v>
      </c>
      <c r="AJ26" s="108"/>
      <c r="AL26" s="106">
        <v>75.56501719437313</v>
      </c>
      <c r="AM26" s="106">
        <v>0.8803063867604443</v>
      </c>
      <c r="AN26" s="106">
        <v>5.950355262183684</v>
      </c>
      <c r="AO26" s="106">
        <v>2.6210906883425578</v>
      </c>
      <c r="AP26" s="106">
        <v>1.041033371362887</v>
      </c>
      <c r="AQ26" s="106">
        <v>36.87390719346994</v>
      </c>
      <c r="AR26" s="106">
        <v>0</v>
      </c>
      <c r="AS26" s="108"/>
      <c r="AT26" s="106">
        <f t="shared" si="41"/>
        <v>67.28017242344742</v>
      </c>
      <c r="AU26" s="106">
        <v>1275.4281477798645</v>
      </c>
      <c r="AV26" s="106">
        <v>0.8803063867604443</v>
      </c>
      <c r="AW26" s="106">
        <v>24.052995458740593</v>
      </c>
      <c r="AX26" s="106">
        <v>2.6210906883425578</v>
      </c>
      <c r="AY26" s="106">
        <v>1.041033371362887</v>
      </c>
      <c r="AZ26" s="106">
        <v>444.01984629349073</v>
      </c>
      <c r="BA26" s="106">
        <v>3.3681527099728146</v>
      </c>
      <c r="BB26" s="108"/>
      <c r="BC26" s="106">
        <v>20.477517663462734</v>
      </c>
      <c r="BD26" s="106">
        <v>13.351023348596433</v>
      </c>
      <c r="BE26" s="106">
        <v>1.7891954705694069</v>
      </c>
      <c r="BF26" s="106">
        <v>0</v>
      </c>
      <c r="BG26" s="106">
        <v>3910.4126023590507</v>
      </c>
      <c r="BH26" s="106">
        <v>7.615822703667628</v>
      </c>
      <c r="BI26" s="106">
        <f t="shared" si="42"/>
        <v>13.412087278075665</v>
      </c>
      <c r="BJ26" s="106">
        <f t="shared" si="43"/>
        <v>43.21672275338542</v>
      </c>
      <c r="BK26" s="106">
        <v>4.044654482568037</v>
      </c>
      <c r="BL26" s="106">
        <v>0</v>
      </c>
      <c r="BM26" s="106">
        <v>0</v>
      </c>
      <c r="BN26" s="106">
        <v>0</v>
      </c>
      <c r="BO26" s="106">
        <v>523.7272311240245</v>
      </c>
      <c r="BP26" s="121">
        <v>0</v>
      </c>
      <c r="BQ26" s="106">
        <v>-0.3368152709972815</v>
      </c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8"/>
      <c r="CF26" s="106">
        <f t="shared" si="61"/>
        <v>25.361465331344327</v>
      </c>
      <c r="CG26" s="106">
        <f t="shared" si="62"/>
        <v>16.713607871808804</v>
      </c>
      <c r="CH26" s="106">
        <f t="shared" si="4"/>
        <v>69.06936789401684</v>
      </c>
      <c r="CI26" s="106">
        <f t="shared" si="5"/>
        <v>0</v>
      </c>
      <c r="CJ26" s="106">
        <f t="shared" si="6"/>
        <v>5110.275732944542</v>
      </c>
      <c r="CK26" s="106">
        <f t="shared" si="7"/>
        <v>7.615822703667628</v>
      </c>
      <c r="CL26" s="106">
        <f t="shared" si="8"/>
        <v>22.147294679124947</v>
      </c>
      <c r="CM26" s="106">
        <f t="shared" si="9"/>
        <v>0</v>
      </c>
      <c r="CN26" s="106">
        <f t="shared" si="10"/>
        <v>0</v>
      </c>
      <c r="CO26" s="106">
        <f t="shared" si="11"/>
        <v>0</v>
      </c>
      <c r="CP26" s="106">
        <f t="shared" si="12"/>
        <v>930.8731702240452</v>
      </c>
      <c r="CQ26" s="121">
        <f t="shared" si="13"/>
        <v>204.89028013172913</v>
      </c>
      <c r="CR26" s="106">
        <f t="shared" si="14"/>
        <v>3.031337438975533</v>
      </c>
      <c r="CS26" s="106"/>
      <c r="CT26" s="106"/>
      <c r="CU26" s="106"/>
      <c r="CV26" s="106"/>
      <c r="CW26" s="108"/>
      <c r="CX26" s="121">
        <f t="shared" si="15"/>
        <v>69.06936789401684</v>
      </c>
      <c r="CY26" s="106">
        <v>5185.840750138916</v>
      </c>
      <c r="CZ26" s="106">
        <v>8.496129090428072</v>
      </c>
      <c r="DA26" s="106">
        <v>28.09764994130863</v>
      </c>
      <c r="DB26" s="106">
        <v>2.6210906883425578</v>
      </c>
      <c r="DC26" s="106">
        <v>1.041033371362887</v>
      </c>
      <c r="DD26" s="106">
        <v>967.7470774175151</v>
      </c>
      <c r="DE26" s="46">
        <f t="shared" si="16"/>
        <v>241.76418732519903</v>
      </c>
      <c r="DF26" s="106">
        <v>3.031337438975533</v>
      </c>
      <c r="DH26" s="121">
        <v>721.2702960251653</v>
      </c>
      <c r="DI26" s="121">
        <v>2160.7578504310322</v>
      </c>
      <c r="DJ26" s="121">
        <v>2882.028146456197</v>
      </c>
      <c r="DK26" s="121">
        <f t="shared" si="44"/>
        <v>2260.1304657424844</v>
      </c>
      <c r="DL26" s="121">
        <f t="shared" si="45"/>
        <v>7086.726642492667</v>
      </c>
      <c r="DM26" s="121"/>
      <c r="DN26" s="121"/>
      <c r="DO26" s="121"/>
      <c r="DP26" s="121"/>
      <c r="DQ26" s="121">
        <f t="shared" si="46"/>
        <v>9346.857108235152</v>
      </c>
      <c r="DR26" s="121">
        <f t="shared" si="47"/>
        <v>9.346857108235152</v>
      </c>
      <c r="DS26" s="121">
        <v>41.01977570253835</v>
      </c>
      <c r="DT26" s="121">
        <v>-4.101977570253835</v>
      </c>
      <c r="DU26" s="121">
        <v>41.01977570253835</v>
      </c>
      <c r="DV26" s="121">
        <v>22.763075436049355</v>
      </c>
      <c r="DW26" s="121">
        <v>66.53858633352404</v>
      </c>
      <c r="DX26" s="121">
        <v>89.3016617695734</v>
      </c>
      <c r="DY26" s="122">
        <f t="shared" si="17"/>
        <v>-4.356687694496859</v>
      </c>
      <c r="DZ26" s="122">
        <f t="shared" si="18"/>
        <v>-14.705908842682774</v>
      </c>
      <c r="EA26" s="121"/>
      <c r="EB26" s="121">
        <v>78.01007612702777</v>
      </c>
      <c r="EC26" s="121">
        <f t="shared" si="49"/>
        <v>-8.542359395992065</v>
      </c>
      <c r="ED26" s="121">
        <v>251.79562064288302</v>
      </c>
      <c r="EE26" s="121">
        <f t="shared" si="50"/>
        <v>-7.495321408840823</v>
      </c>
      <c r="EF26" s="121">
        <v>329.8056967699108</v>
      </c>
      <c r="EG26" s="121"/>
      <c r="EH26" s="121">
        <v>16.98659370990238</v>
      </c>
      <c r="EI26" s="121">
        <f t="shared" si="51"/>
        <v>-10.558751531963662</v>
      </c>
      <c r="EJ26" s="121">
        <v>72.05484688130522</v>
      </c>
      <c r="EK26" s="121">
        <f t="shared" si="52"/>
        <v>-10.464593198504332</v>
      </c>
      <c r="EL26" s="121">
        <v>89.0414405912076</v>
      </c>
      <c r="EM26" s="121"/>
      <c r="EO26" s="46">
        <f t="shared" si="19"/>
        <v>225.45795153128162</v>
      </c>
      <c r="EP26" s="46">
        <f t="shared" si="20"/>
        <v>2245.705059821981</v>
      </c>
      <c r="EQ26" s="121">
        <f t="shared" si="63"/>
        <v>41.01977570253835</v>
      </c>
      <c r="ER26" s="106">
        <f t="shared" si="64"/>
        <v>18.10264019655691</v>
      </c>
      <c r="ES26" s="106">
        <f t="shared" si="65"/>
        <v>78.8948573245142</v>
      </c>
      <c r="ET26" s="106"/>
      <c r="EU26" s="123">
        <v>0</v>
      </c>
      <c r="EV26" s="123">
        <v>964.4310685368083</v>
      </c>
      <c r="EW26" s="123"/>
      <c r="EX26" s="123"/>
      <c r="EY26" s="124">
        <f t="shared" si="21"/>
        <v>0.9222857142857143</v>
      </c>
      <c r="EZ26" s="124">
        <f t="shared" si="53"/>
        <v>1.567885714285714</v>
      </c>
      <c r="FA26" s="124">
        <f t="shared" si="22"/>
        <v>3.5736113531136806</v>
      </c>
      <c r="FB26" s="121">
        <f t="shared" si="23"/>
        <v>2.6091802845768726</v>
      </c>
      <c r="FC26" s="109">
        <f t="shared" si="24"/>
        <v>3.8747334993487863</v>
      </c>
      <c r="FD26" s="109">
        <f t="shared" si="25"/>
        <v>2.8290368636985916</v>
      </c>
      <c r="FE26" s="109">
        <f t="shared" si="26"/>
        <v>6.308966735703941</v>
      </c>
      <c r="FF26" s="109">
        <f t="shared" si="27"/>
        <v>62.84133437916529</v>
      </c>
      <c r="FG26" s="109">
        <f t="shared" si="28"/>
        <v>1.1478521766727068</v>
      </c>
      <c r="FH26" s="109">
        <f t="shared" si="29"/>
        <v>0.5065643240914857</v>
      </c>
      <c r="FI26" s="109">
        <f t="shared" si="30"/>
        <v>2.2077067013953062</v>
      </c>
      <c r="FJ26" s="109">
        <f t="shared" si="31"/>
        <v>0</v>
      </c>
      <c r="FK26" s="109">
        <f t="shared" si="32"/>
        <v>26.987575682971272</v>
      </c>
      <c r="FL26" s="109">
        <f t="shared" si="33"/>
        <v>8.640949529780915</v>
      </c>
      <c r="FM26" s="109">
        <f t="shared" si="34"/>
        <v>86.06937102417069</v>
      </c>
      <c r="FN26" s="109">
        <f t="shared" si="35"/>
        <v>1.5721326711308672</v>
      </c>
      <c r="FO26" s="109">
        <f t="shared" si="36"/>
        <v>0.6938056486001921</v>
      </c>
      <c r="FP26" s="109">
        <f t="shared" si="37"/>
        <v>3.023741126317321</v>
      </c>
      <c r="FQ26" s="123"/>
      <c r="FR26" s="121">
        <f t="shared" si="54"/>
        <v>43.281358898513034</v>
      </c>
      <c r="FS26" s="121">
        <f t="shared" si="55"/>
        <v>121.14752165299082</v>
      </c>
      <c r="FT26" s="106">
        <f t="shared" si="38"/>
        <v>41.31225889255115</v>
      </c>
      <c r="FU26" s="106">
        <f t="shared" si="39"/>
        <v>119.17061544800092</v>
      </c>
      <c r="FV26" s="106">
        <f t="shared" si="56"/>
        <v>0.9545046630680181</v>
      </c>
      <c r="FW26" s="106">
        <f t="shared" si="57"/>
        <v>0.9836818270979372</v>
      </c>
    </row>
    <row r="27" spans="4:179" ht="12.75">
      <c r="D27" s="79" t="s">
        <v>142</v>
      </c>
      <c r="E27" s="119">
        <v>5</v>
      </c>
      <c r="F27" s="120">
        <v>36502.01388888889</v>
      </c>
      <c r="G27" s="120">
        <v>36502.899305555555</v>
      </c>
      <c r="H27" s="120"/>
      <c r="I27" s="81">
        <v>-66</v>
      </c>
      <c r="J27" s="46">
        <v>3.7333333333333334</v>
      </c>
      <c r="K27" s="81">
        <v>-70.1</v>
      </c>
      <c r="L27" s="46">
        <v>5.283333333333333</v>
      </c>
      <c r="M27" s="106">
        <v>0.3535897435897436</v>
      </c>
      <c r="N27" s="106">
        <v>0.3535897435897436</v>
      </c>
      <c r="O27" s="106">
        <v>0.015975729094764503</v>
      </c>
      <c r="P27" s="106">
        <v>0.011490409242523486</v>
      </c>
      <c r="Q27" s="106"/>
      <c r="R27" s="153">
        <v>21.292499999941676</v>
      </c>
      <c r="S27" s="106"/>
      <c r="T27" s="106">
        <f t="shared" si="0"/>
        <v>0.7903645242534153</v>
      </c>
      <c r="U27" s="106">
        <v>2.377830417544712</v>
      </c>
      <c r="V27" s="106">
        <v>0</v>
      </c>
      <c r="W27" s="106">
        <v>22.356826246450087</v>
      </c>
      <c r="X27" s="106">
        <v>0</v>
      </c>
      <c r="Y27" s="106">
        <v>178.3514261752704</v>
      </c>
      <c r="Z27" s="106">
        <v>0</v>
      </c>
      <c r="AA27" s="106">
        <f t="shared" si="1"/>
        <v>0.7015712692522763</v>
      </c>
      <c r="AB27" s="106">
        <f t="shared" si="40"/>
        <v>100</v>
      </c>
      <c r="AC27" s="106">
        <v>29.49097136709258</v>
      </c>
      <c r="AD27" s="106">
        <v>0</v>
      </c>
      <c r="AE27" s="106">
        <v>0</v>
      </c>
      <c r="AF27" s="106">
        <v>0</v>
      </c>
      <c r="AG27" s="106">
        <v>259.0492646830805</v>
      </c>
      <c r="AH27" s="46">
        <f t="shared" si="2"/>
        <v>230.5778077283358</v>
      </c>
      <c r="AI27" s="106">
        <v>1.794128827955404</v>
      </c>
      <c r="AJ27" s="108"/>
      <c r="AL27" s="106">
        <v>28.354721313471217</v>
      </c>
      <c r="AM27" s="106">
        <v>0</v>
      </c>
      <c r="AN27" s="106">
        <v>4.362653748288817</v>
      </c>
      <c r="AO27" s="106">
        <v>0</v>
      </c>
      <c r="AP27" s="106">
        <v>0.8542417155255417</v>
      </c>
      <c r="AQ27" s="106">
        <v>16.985570607676582</v>
      </c>
      <c r="AR27" s="106">
        <v>0.6883210368823727</v>
      </c>
      <c r="AS27" s="108"/>
      <c r="AT27" s="106">
        <f t="shared" si="41"/>
        <v>22.356826246450087</v>
      </c>
      <c r="AU27" s="106">
        <v>206.70614748874164</v>
      </c>
      <c r="AV27" s="106">
        <v>0</v>
      </c>
      <c r="AW27" s="106">
        <v>33.8536251153814</v>
      </c>
      <c r="AX27" s="106">
        <v>0</v>
      </c>
      <c r="AY27" s="106">
        <v>0.8542417155255417</v>
      </c>
      <c r="AZ27" s="106">
        <v>276.0348352907571</v>
      </c>
      <c r="BA27" s="106">
        <v>2.4824498648377764</v>
      </c>
      <c r="BB27" s="108"/>
      <c r="BC27" s="106">
        <v>4.645014128571871</v>
      </c>
      <c r="BD27" s="106">
        <v>1.2204293430688462</v>
      </c>
      <c r="BE27" s="106">
        <v>-0.296088973301849</v>
      </c>
      <c r="BF27" s="106">
        <v>0</v>
      </c>
      <c r="BG27" s="106">
        <v>248.3974798243852</v>
      </c>
      <c r="BH27" s="106">
        <v>0</v>
      </c>
      <c r="BI27" s="106">
        <f t="shared" si="42"/>
        <v>0.8650957378857382</v>
      </c>
      <c r="BJ27" s="106">
        <f t="shared" si="43"/>
        <v>99.99999999999999</v>
      </c>
      <c r="BK27" s="106">
        <v>4.570212335608575</v>
      </c>
      <c r="BL27" s="106">
        <v>0</v>
      </c>
      <c r="BM27" s="106">
        <v>0</v>
      </c>
      <c r="BN27" s="106">
        <v>0</v>
      </c>
      <c r="BO27" s="106">
        <v>27.796628665780304</v>
      </c>
      <c r="BP27" s="121">
        <v>0</v>
      </c>
      <c r="BQ27" s="106">
        <v>0.17232074910502254</v>
      </c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8"/>
      <c r="CF27" s="106">
        <f t="shared" si="61"/>
        <v>7.022844546116583</v>
      </c>
      <c r="CG27" s="106">
        <f t="shared" si="62"/>
        <v>1.2204293430688462</v>
      </c>
      <c r="CH27" s="106">
        <f t="shared" si="4"/>
        <v>22.356826246450087</v>
      </c>
      <c r="CI27" s="106">
        <f t="shared" si="5"/>
        <v>0</v>
      </c>
      <c r="CJ27" s="106">
        <f t="shared" si="6"/>
        <v>426.74890599965556</v>
      </c>
      <c r="CK27" s="106">
        <f t="shared" si="7"/>
        <v>0</v>
      </c>
      <c r="CL27" s="106">
        <f t="shared" si="8"/>
        <v>34.06118370270116</v>
      </c>
      <c r="CM27" s="106">
        <f t="shared" si="9"/>
        <v>0</v>
      </c>
      <c r="CN27" s="106">
        <f t="shared" si="10"/>
        <v>0</v>
      </c>
      <c r="CO27" s="106">
        <f t="shared" si="11"/>
        <v>0</v>
      </c>
      <c r="CP27" s="106">
        <f t="shared" si="12"/>
        <v>286.8458933488608</v>
      </c>
      <c r="CQ27" s="121">
        <f t="shared" si="13"/>
        <v>223.26676146153554</v>
      </c>
      <c r="CR27" s="106">
        <f t="shared" si="14"/>
        <v>1.9664495770604264</v>
      </c>
      <c r="CS27" s="106"/>
      <c r="CT27" s="106"/>
      <c r="CU27" s="106"/>
      <c r="CV27" s="106"/>
      <c r="CW27" s="108"/>
      <c r="CX27" s="121">
        <f t="shared" si="15"/>
        <v>22.356826246450087</v>
      </c>
      <c r="CY27" s="106">
        <v>455.1036273131268</v>
      </c>
      <c r="CZ27" s="106">
        <v>0</v>
      </c>
      <c r="DA27" s="106">
        <v>38.42383745098997</v>
      </c>
      <c r="DB27" s="106">
        <v>0</v>
      </c>
      <c r="DC27" s="106">
        <v>0.8542417155255417</v>
      </c>
      <c r="DD27" s="106">
        <v>303.8314639565374</v>
      </c>
      <c r="DE27" s="46">
        <f t="shared" si="16"/>
        <v>240.25233206921214</v>
      </c>
      <c r="DF27" s="106">
        <v>2.654770613942799</v>
      </c>
      <c r="DH27" s="121">
        <v>113.0268239569062</v>
      </c>
      <c r="DI27" s="121">
        <v>139.37147650885498</v>
      </c>
      <c r="DJ27" s="121">
        <v>252.39830046576117</v>
      </c>
      <c r="DK27" s="121">
        <f t="shared" si="44"/>
        <v>344.5008573919225</v>
      </c>
      <c r="DL27" s="121">
        <f t="shared" si="45"/>
        <v>453.273550292402</v>
      </c>
      <c r="DM27" s="121"/>
      <c r="DN27" s="121"/>
      <c r="DO27" s="121"/>
      <c r="DP27" s="121"/>
      <c r="DQ27" s="121">
        <f t="shared" si="46"/>
        <v>797.7744076843245</v>
      </c>
      <c r="DR27" s="121">
        <f t="shared" si="47"/>
        <v>0.7977744076843245</v>
      </c>
      <c r="DS27" s="121">
        <v>58.90530726823957</v>
      </c>
      <c r="DT27" s="121">
        <v>-3.7155238586719395</v>
      </c>
      <c r="DU27" s="121">
        <v>58.90530726823957</v>
      </c>
      <c r="DV27" s="121">
        <v>3.909032317402068</v>
      </c>
      <c r="DW27" s="121">
        <v>8.214253271570906</v>
      </c>
      <c r="DX27" s="121">
        <v>12.123285588972973</v>
      </c>
      <c r="DY27" s="122">
        <f t="shared" si="17"/>
        <v>-0.340776263377605</v>
      </c>
      <c r="DZ27" s="122">
        <f t="shared" si="18"/>
        <v>2.9738857548379576</v>
      </c>
      <c r="EA27" s="121">
        <f t="shared" si="48"/>
        <v>2.9738857548379576</v>
      </c>
      <c r="EB27" s="121">
        <v>14.737257836980863</v>
      </c>
      <c r="EC27" s="121">
        <f t="shared" si="49"/>
        <v>1.1740389621521192</v>
      </c>
      <c r="ED27" s="121">
        <v>14.387559656699944</v>
      </c>
      <c r="EE27" s="121">
        <f t="shared" si="50"/>
        <v>-2.3370175243626523</v>
      </c>
      <c r="EF27" s="121">
        <v>29.12481749368081</v>
      </c>
      <c r="EG27" s="121">
        <f>IF(EC27&gt;0,EC27,0)+IF(EE27&gt;0,EE27,0)</f>
        <v>1.1740389621521192</v>
      </c>
      <c r="EH27" s="121">
        <v>0</v>
      </c>
      <c r="EI27" s="121">
        <f t="shared" si="51"/>
        <v>-4.316499521250173</v>
      </c>
      <c r="EJ27" s="121">
        <v>0.2384365558888762</v>
      </c>
      <c r="EK27" s="121">
        <f t="shared" si="52"/>
        <v>-5.084166438385948</v>
      </c>
      <c r="EL27" s="121">
        <v>0.2384365558888762</v>
      </c>
      <c r="EM27" s="121"/>
      <c r="EO27" s="46">
        <f t="shared" si="19"/>
        <v>230.5778077283358</v>
      </c>
      <c r="EP27" s="46">
        <f t="shared" si="20"/>
        <v>342.2403209127844</v>
      </c>
      <c r="EQ27" s="121">
        <f t="shared" si="63"/>
        <v>58.90530726823957</v>
      </c>
      <c r="ER27" s="106">
        <f t="shared" si="64"/>
        <v>29.49097136709258</v>
      </c>
      <c r="ES27" s="106">
        <f t="shared" si="65"/>
        <v>26.528785491950202</v>
      </c>
      <c r="ET27" s="106"/>
      <c r="EU27" s="123">
        <v>0</v>
      </c>
      <c r="EV27" s="123">
        <v>566.44620220927</v>
      </c>
      <c r="EW27" s="123"/>
      <c r="EX27" s="123"/>
      <c r="EY27" s="124">
        <f t="shared" si="21"/>
        <v>0.3535897435897436</v>
      </c>
      <c r="EZ27" s="124">
        <f t="shared" si="53"/>
        <v>0.6011025641025641</v>
      </c>
      <c r="FA27" s="124">
        <f t="shared" si="22"/>
        <v>1.2541893949776728</v>
      </c>
      <c r="FB27" s="121">
        <f t="shared" si="23"/>
        <v>0.6877431927684026</v>
      </c>
      <c r="FC27" s="109">
        <f t="shared" si="24"/>
        <v>3.5470185934829033</v>
      </c>
      <c r="FD27" s="109">
        <f t="shared" si="25"/>
        <v>1.9450315096423276</v>
      </c>
      <c r="FE27" s="109">
        <f t="shared" si="26"/>
        <v>18.384608309691583</v>
      </c>
      <c r="FF27" s="109">
        <f t="shared" si="27"/>
        <v>27.287770274829743</v>
      </c>
      <c r="FG27" s="109">
        <f t="shared" si="28"/>
        <v>4.69668357140655</v>
      </c>
      <c r="FH27" s="109">
        <f t="shared" si="29"/>
        <v>2.3513969648593287</v>
      </c>
      <c r="FI27" s="109">
        <f t="shared" si="30"/>
        <v>2.115213666945611</v>
      </c>
      <c r="FJ27" s="109">
        <f t="shared" si="31"/>
        <v>0</v>
      </c>
      <c r="FK27" s="109">
        <f t="shared" si="32"/>
        <v>45.16432721226717</v>
      </c>
      <c r="FL27" s="109">
        <f t="shared" si="33"/>
        <v>33.5267306391185</v>
      </c>
      <c r="FM27" s="109">
        <f t="shared" si="34"/>
        <v>49.76280747107791</v>
      </c>
      <c r="FN27" s="109">
        <f t="shared" si="35"/>
        <v>8.565014948548669</v>
      </c>
      <c r="FO27" s="109">
        <f t="shared" si="36"/>
        <v>4.288078991866323</v>
      </c>
      <c r="FP27" s="109">
        <f t="shared" si="37"/>
        <v>3.8573679493885984</v>
      </c>
      <c r="FQ27" s="123"/>
      <c r="FR27" s="121">
        <f t="shared" si="54"/>
        <v>11.131839358442642</v>
      </c>
      <c r="FS27" s="121">
        <f t="shared" si="55"/>
        <v>7.646804914418729</v>
      </c>
      <c r="FT27" s="106">
        <f t="shared" si="38"/>
        <v>9.465939032555118</v>
      </c>
      <c r="FU27" s="106">
        <f t="shared" si="39"/>
        <v>7.226759900368704</v>
      </c>
      <c r="FV27" s="106">
        <f t="shared" si="56"/>
        <v>0.8503481525158673</v>
      </c>
      <c r="FW27" s="106">
        <f t="shared" si="57"/>
        <v>0.9450692127298825</v>
      </c>
    </row>
    <row r="28" spans="6:179" ht="12.75">
      <c r="F28" s="110"/>
      <c r="G28" s="110"/>
      <c r="H28" s="110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8"/>
      <c r="AS28" s="108"/>
      <c r="AT28" s="106"/>
      <c r="AU28" s="106"/>
      <c r="AV28" s="106"/>
      <c r="AW28" s="106"/>
      <c r="AX28" s="106"/>
      <c r="AY28" s="106"/>
      <c r="AZ28" s="106"/>
      <c r="BA28" s="106"/>
      <c r="BB28" s="108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8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21"/>
      <c r="CR28" s="106"/>
      <c r="CS28" s="106"/>
      <c r="CT28" s="106"/>
      <c r="CU28" s="106"/>
      <c r="CV28" s="106"/>
      <c r="CW28" s="108"/>
      <c r="CX28" s="106"/>
      <c r="CY28" s="106"/>
      <c r="CZ28" s="106"/>
      <c r="DA28" s="106"/>
      <c r="DB28" s="106"/>
      <c r="DC28" s="106"/>
      <c r="DD28" s="106"/>
      <c r="DE28" s="106"/>
      <c r="DF28" s="106"/>
      <c r="DR28" s="121"/>
      <c r="DY28" s="122"/>
      <c r="DZ28" s="122"/>
      <c r="EA28" s="121"/>
      <c r="EQ28" s="138"/>
      <c r="EU28" s="123"/>
      <c r="EV28" s="123"/>
      <c r="EW28" s="123"/>
      <c r="EX28" s="123"/>
      <c r="EY28" s="124"/>
      <c r="EZ28" s="124"/>
      <c r="FA28" s="124"/>
      <c r="FB28" s="121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23"/>
      <c r="FR28" s="121"/>
      <c r="FS28" s="121"/>
      <c r="FT28" s="106"/>
      <c r="FU28" s="106"/>
      <c r="FV28" s="106"/>
      <c r="FW28" s="106"/>
    </row>
    <row r="29" ht="12.75"/>
    <row r="30" ht="12.75"/>
    <row r="31" ht="12.75"/>
    <row r="32" ht="12.75">
      <c r="EQ32" s="138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65" r:id="rId3"/>
  <legacyDrawing r:id="rId2"/>
  <oleObjects>
    <oleObject progId="Equation.COEE2" shapeId="59143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Finnish Meteorological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 Virkkula</dc:creator>
  <cp:keywords/>
  <dc:description/>
  <cp:lastModifiedBy>Jennifer Andrew</cp:lastModifiedBy>
  <cp:lastPrinted>2006-05-30T12:14:35Z</cp:lastPrinted>
  <dcterms:created xsi:type="dcterms:W3CDTF">2000-12-08T07:39:17Z</dcterms:created>
  <dcterms:modified xsi:type="dcterms:W3CDTF">2011-05-06T08:13:58Z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1772906891</vt:i4>
  </property>
  <property fmtid="{D5CDD505-2E9C-101B-9397-08002B2CF9AE}" pid="3" name="_NewReviewCycle">
    <vt:lpwstr/>
  </property>
  <property fmtid="{D5CDD505-2E9C-101B-9397-08002B2CF9AE}" pid="4" name="_EmailSubject">
    <vt:lpwstr>Aerosol map and some additional Data</vt:lpwstr>
  </property>
  <property fmtid="{D5CDD505-2E9C-101B-9397-08002B2CF9AE}" pid="5" name="_AuthorEmail">
    <vt:lpwstr>S.Rohekar@uea.ac.uk</vt:lpwstr>
  </property>
  <property fmtid="{D5CDD505-2E9C-101B-9397-08002B2CF9AE}" pid="6" name="_AuthorEmailDisplayName">
    <vt:lpwstr>Rohekar Shital Dr (ENV)</vt:lpwstr>
  </property>
  <property fmtid="{D5CDD505-2E9C-101B-9397-08002B2CF9AE}" pid="7" name="_ReviewingToolsShownOnce">
    <vt:lpwstr/>
  </property>
</Properties>
</file>